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 J H\AppData\Local\Microsoft\Windows\Temporary Internet Files\Content.Outlook\0RUNV6LH\"/>
    </mc:Choice>
  </mc:AlternateContent>
  <xr:revisionPtr revIDLastSave="0" documentId="13_ncr:1_{9B1FC86C-2636-40D3-9CC7-FA405BFC97DD}" xr6:coauthVersionLast="45" xr6:coauthVersionMax="45" xr10:uidLastSave="{00000000-0000-0000-0000-000000000000}"/>
  <bookViews>
    <workbookView xWindow="1875" yWindow="360" windowWidth="25860" windowHeight="20640" tabRatio="748" xr2:uid="{00000000-000D-0000-FFFF-FFFF00000000}"/>
  </bookViews>
  <sheets>
    <sheet name="EQUATIONS" sheetId="1" r:id="rId1"/>
    <sheet name="DIAPASON COEFFICIENTS" sheetId="8" r:id="rId2"/>
    <sheet name="DIAPASON GRAPHS" sheetId="3" r:id="rId3"/>
    <sheet name="VIOLIN COEFFICIENTS" sheetId="4" r:id="rId4"/>
    <sheet name="VIOLIN GRAPHS" sheetId="5" r:id="rId5"/>
    <sheet name="STOPPED FLUTE COEFFICIENTS" sheetId="6" r:id="rId6"/>
    <sheet name="STOPPED FLUTE GRAPHS" sheetId="7" r:id="rId7"/>
  </sheets>
  <externalReferences>
    <externalReference r:id="rId8"/>
  </externalReferences>
  <definedNames>
    <definedName name="DATA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A78" i="8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7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G1" i="8"/>
  <c r="F1" i="8"/>
  <c r="E1" i="8"/>
  <c r="D1" i="8"/>
  <c r="C1" i="8"/>
  <c r="B1" i="8"/>
  <c r="G45" i="1" l="1"/>
  <c r="G40" i="1" l="1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7" i="4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B50" i="1" l="1"/>
  <c r="C50" i="1"/>
  <c r="B54" i="1" l="1"/>
  <c r="D6" i="1"/>
  <c r="B59" i="1" l="1"/>
  <c r="B57" i="1"/>
  <c r="B68" i="1" s="1"/>
  <c r="C53" i="1"/>
  <c r="B53" i="1"/>
  <c r="B60" i="1" s="1"/>
  <c r="B43" i="1"/>
  <c r="C43" i="1"/>
  <c r="C19" i="1" s="1"/>
  <c r="D43" i="1"/>
  <c r="B47" i="1"/>
  <c r="B48" i="1" s="1"/>
  <c r="C47" i="1"/>
  <c r="C48" i="1" s="1"/>
  <c r="D47" i="1"/>
  <c r="D48" i="1" s="1"/>
  <c r="B51" i="1"/>
  <c r="C71" i="1"/>
  <c r="D50" i="1"/>
  <c r="D51" i="1" s="1"/>
  <c r="C54" i="1"/>
  <c r="D19" i="1" l="1"/>
  <c r="D44" i="1"/>
  <c r="D54" i="1" s="1"/>
  <c r="D57" i="1" s="1"/>
  <c r="B56" i="1"/>
  <c r="B67" i="1" s="1"/>
  <c r="B58" i="1"/>
  <c r="C60" i="1"/>
  <c r="C59" i="1"/>
  <c r="C57" i="1"/>
  <c r="C66" i="1" s="1"/>
  <c r="C58" i="1"/>
  <c r="C56" i="1"/>
  <c r="C65" i="1" s="1"/>
  <c r="B19" i="1"/>
  <c r="B61" i="1"/>
  <c r="B62" i="1" s="1"/>
  <c r="B66" i="1"/>
  <c r="C55" i="1"/>
  <c r="D55" i="1"/>
  <c r="B55" i="1"/>
  <c r="C51" i="1"/>
  <c r="B71" i="1"/>
  <c r="C52" i="1"/>
  <c r="D71" i="1"/>
  <c r="D52" i="1"/>
  <c r="B52" i="1"/>
  <c r="C5" i="1"/>
  <c r="B6" i="1"/>
  <c r="C68" i="1" l="1"/>
  <c r="C67" i="1"/>
  <c r="D66" i="1"/>
  <c r="D68" i="1"/>
  <c r="D59" i="1"/>
  <c r="D61" i="1" s="1"/>
  <c r="B65" i="1"/>
  <c r="C61" i="1"/>
  <c r="C62" i="1" s="1"/>
  <c r="D69" i="1" l="1"/>
  <c r="D62" i="1"/>
  <c r="C36" i="1"/>
  <c r="D36" i="1"/>
  <c r="C35" i="1"/>
  <c r="D35" i="1"/>
  <c r="C31" i="1" l="1"/>
  <c r="C24" i="1" s="1"/>
  <c r="C63" i="1"/>
  <c r="D31" i="1"/>
  <c r="D63" i="1"/>
  <c r="B35" i="1"/>
  <c r="B36" i="1"/>
  <c r="B63" i="1" s="1"/>
  <c r="C21" i="1" l="1"/>
  <c r="D21" i="1"/>
  <c r="D23" i="1"/>
  <c r="B38" i="1"/>
  <c r="B31" i="1"/>
  <c r="B37" i="1"/>
  <c r="B49" i="1" s="1"/>
  <c r="B24" i="1" l="1"/>
  <c r="B11" i="1"/>
  <c r="B21" i="1"/>
  <c r="B64" i="1"/>
  <c r="B70" i="1"/>
  <c r="B12" i="1" l="1"/>
  <c r="C13" i="1"/>
  <c r="C14" i="1" s="1"/>
  <c r="D13" i="1"/>
  <c r="D14" i="1" s="1"/>
  <c r="D11" i="1"/>
  <c r="C11" i="1"/>
  <c r="B13" i="1"/>
  <c r="B14" i="1" s="1"/>
  <c r="C37" i="1"/>
  <c r="C49" i="1" s="1"/>
  <c r="D37" i="1"/>
  <c r="D49" i="1" s="1"/>
  <c r="B18" i="1" l="1"/>
  <c r="B16" i="1"/>
  <c r="B15" i="1"/>
  <c r="D18" i="1"/>
  <c r="D12" i="1"/>
  <c r="D15" i="1"/>
  <c r="D16" i="1"/>
  <c r="C12" i="1"/>
  <c r="C16" i="1"/>
  <c r="C18" i="1"/>
  <c r="C15" i="1"/>
  <c r="D17" i="1" l="1"/>
  <c r="F1" i="6" s="1"/>
  <c r="C17" i="1"/>
  <c r="F1" i="4" s="1"/>
  <c r="D22" i="1" l="1"/>
  <c r="G1" i="6" s="1"/>
  <c r="D20" i="1"/>
  <c r="C20" i="1"/>
  <c r="C22" i="1"/>
  <c r="G1" i="4" s="1"/>
  <c r="C38" i="1"/>
  <c r="D38" i="1"/>
  <c r="C29" i="1" l="1"/>
  <c r="C27" i="1"/>
  <c r="D1" i="4" s="1"/>
  <c r="C28" i="1"/>
  <c r="E1" i="4" s="1"/>
  <c r="D27" i="1"/>
  <c r="D1" i="6" s="1"/>
  <c r="D29" i="1"/>
  <c r="D28" i="1"/>
  <c r="E1" i="6" s="1"/>
  <c r="C25" i="1"/>
  <c r="B1" i="4" s="1"/>
  <c r="D26" i="1"/>
  <c r="C1" i="6" s="1"/>
  <c r="D25" i="1"/>
  <c r="B1" i="6" s="1"/>
  <c r="C26" i="1"/>
  <c r="C1" i="4" s="1"/>
  <c r="C64" i="1"/>
  <c r="C70" i="1"/>
  <c r="B17" i="1" l="1"/>
  <c r="B22" i="1" l="1"/>
  <c r="B20" i="1"/>
  <c r="B25" i="1" l="1"/>
  <c r="B27" i="1"/>
  <c r="B26" i="1"/>
  <c r="B29" i="1"/>
  <c r="B28" i="1"/>
</calcChain>
</file>

<file path=xl/sharedStrings.xml><?xml version="1.0" encoding="utf-8"?>
<sst xmlns="http://schemas.openxmlformats.org/spreadsheetml/2006/main" count="261" uniqueCount="175">
  <si>
    <t>msec</t>
  </si>
  <si>
    <t>Measured Actual Pipe Diameter</t>
  </si>
  <si>
    <t>Period difference between actual pipe length and end corrected pipe length.</t>
  </si>
  <si>
    <t>usec</t>
  </si>
  <si>
    <t>Calculated Mouth Correction</t>
  </si>
  <si>
    <t>Measured Actual Pipe Width</t>
  </si>
  <si>
    <t>Measured Actual Pipe Depth</t>
  </si>
  <si>
    <t>True Frequency</t>
  </si>
  <si>
    <t>Measured Mouth Width</t>
  </si>
  <si>
    <t>Measured Mouth Cutup</t>
  </si>
  <si>
    <t>Calculated Mouth Area</t>
  </si>
  <si>
    <t>kg/m^3</t>
  </si>
  <si>
    <t>m/sec</t>
  </si>
  <si>
    <t>mm</t>
  </si>
  <si>
    <t>mm^2</t>
  </si>
  <si>
    <t>Hz</t>
  </si>
  <si>
    <t>Calculated frequency of measured actual pipe length.</t>
  </si>
  <si>
    <t>Calculated period of frequency calculated from actual measured pipe length.</t>
  </si>
  <si>
    <t>kg/m^2*sec</t>
  </si>
  <si>
    <t>Difference in period between actual pipe length and end corrected pipe length.</t>
  </si>
  <si>
    <t>Speed of Sound sea level and 20C</t>
  </si>
  <si>
    <t>wave number  K</t>
  </si>
  <si>
    <t>m</t>
  </si>
  <si>
    <t>pascal</t>
  </si>
  <si>
    <t>Calculated Pipe end correction.</t>
  </si>
  <si>
    <t>Calculated wavelength based on pipe half wavelength with mouth &amp; end  correction</t>
  </si>
  <si>
    <t>n/a</t>
  </si>
  <si>
    <t>Equivalent pipe diameter calculated from  mouth area.</t>
  </si>
  <si>
    <t>Equivalent pipe diameter calculated from  rectangular area.</t>
  </si>
  <si>
    <t>% error between true and calculated frequencies.</t>
  </si>
  <si>
    <t>%</t>
  </si>
  <si>
    <t>Reflected Power</t>
  </si>
  <si>
    <t>ITEM</t>
  </si>
  <si>
    <t>VALUES</t>
  </si>
  <si>
    <t>UNITS</t>
  </si>
  <si>
    <t>db SPL</t>
  </si>
  <si>
    <t>Transmited Power</t>
  </si>
  <si>
    <t>% error between true and calculated actual pipe lengths.</t>
  </si>
  <si>
    <r>
      <t>Dry Air Density at sea level and 20</t>
    </r>
    <r>
      <rPr>
        <sz val="12"/>
        <color theme="1"/>
        <rFont val="Calibri"/>
        <family val="2"/>
      </rPr>
      <t>°C</t>
    </r>
  </si>
  <si>
    <t>Calculated Cross Section Pipe Area</t>
  </si>
  <si>
    <t>m^3/sec</t>
  </si>
  <si>
    <t>Reflected flow</t>
  </si>
  <si>
    <t>Transmitted flow</t>
  </si>
  <si>
    <r>
      <t>Z</t>
    </r>
    <r>
      <rPr>
        <vertAlign val="subscript"/>
        <sz val="14"/>
        <color theme="1"/>
        <rFont val="Times New Roman"/>
        <family val="1"/>
      </rPr>
      <t>IN</t>
    </r>
    <r>
      <rPr>
        <sz val="14"/>
        <color theme="1"/>
        <rFont val="Times New Roman"/>
        <family val="1"/>
      </rPr>
      <t xml:space="preserve"> = </t>
    </r>
    <r>
      <rPr>
        <i/>
        <sz val="14"/>
        <color theme="1"/>
        <rFont val="Times New Roman"/>
        <family val="1"/>
      </rPr>
      <t>pc</t>
    </r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Z</t>
    </r>
    <r>
      <rPr>
        <i/>
        <vertAlign val="subscript"/>
        <sz val="14"/>
        <color theme="1"/>
        <rFont val="Times New Roman"/>
        <family val="1"/>
      </rPr>
      <t xml:space="preserve">L </t>
    </r>
    <r>
      <rPr>
        <sz val="14"/>
        <color theme="1"/>
        <rFont val="Times New Roman"/>
        <family val="1"/>
      </rPr>
      <t>cos(</t>
    </r>
    <r>
      <rPr>
        <i/>
        <sz val="14"/>
        <color theme="1"/>
        <rFont val="Times New Roman"/>
        <family val="1"/>
      </rPr>
      <t>kL</t>
    </r>
    <r>
      <rPr>
        <sz val="14"/>
        <color theme="1"/>
        <rFont val="Times New Roman"/>
        <family val="1"/>
      </rPr>
      <t>) + (</t>
    </r>
    <r>
      <rPr>
        <i/>
        <sz val="14"/>
        <color theme="1"/>
        <rFont val="Times New Roman"/>
        <family val="1"/>
      </rPr>
      <t xml:space="preserve">jpc) </t>
    </r>
    <r>
      <rPr>
        <sz val="14"/>
        <color theme="1"/>
        <rFont val="Times New Roman"/>
        <family val="1"/>
      </rPr>
      <t>sin(</t>
    </r>
    <r>
      <rPr>
        <i/>
        <sz val="14"/>
        <color theme="1"/>
        <rFont val="Times New Roman"/>
        <family val="1"/>
      </rPr>
      <t>kL</t>
    </r>
    <r>
      <rPr>
        <sz val="14"/>
        <color theme="1"/>
        <rFont val="Times New Roman"/>
        <family val="1"/>
      </rPr>
      <t xml:space="preserve">) / </t>
    </r>
    <r>
      <rPr>
        <i/>
        <sz val="14"/>
        <color theme="1"/>
        <rFont val="Times New Roman"/>
        <family val="1"/>
      </rPr>
      <t>jZ</t>
    </r>
    <r>
      <rPr>
        <i/>
        <vertAlign val="subscript"/>
        <sz val="14"/>
        <color theme="1"/>
        <rFont val="Times New Roman"/>
        <family val="1"/>
      </rPr>
      <t xml:space="preserve">L </t>
    </r>
    <r>
      <rPr>
        <sz val="14"/>
        <color theme="1"/>
        <rFont val="Times New Roman"/>
        <family val="1"/>
      </rPr>
      <t>sin(</t>
    </r>
    <r>
      <rPr>
        <i/>
        <sz val="14"/>
        <color theme="1"/>
        <rFont val="Times New Roman"/>
        <family val="1"/>
      </rPr>
      <t>kL</t>
    </r>
    <r>
      <rPr>
        <sz val="14"/>
        <color theme="1"/>
        <rFont val="Times New Roman"/>
        <family val="1"/>
      </rPr>
      <t xml:space="preserve">) + </t>
    </r>
    <r>
      <rPr>
        <i/>
        <sz val="14"/>
        <color theme="1"/>
        <rFont val="Times New Roman"/>
        <family val="1"/>
      </rPr>
      <t>pc</t>
    </r>
    <r>
      <rPr>
        <sz val="14"/>
        <color theme="1"/>
        <rFont val="Times New Roman"/>
        <family val="1"/>
      </rPr>
      <t xml:space="preserve"> cos(</t>
    </r>
    <r>
      <rPr>
        <i/>
        <sz val="14"/>
        <color theme="1"/>
        <rFont val="Times New Roman"/>
        <family val="1"/>
      </rPr>
      <t>kL</t>
    </r>
    <r>
      <rPr>
        <sz val="14"/>
        <color theme="1"/>
        <rFont val="Times New Roman"/>
        <family val="1"/>
      </rPr>
      <t>))</t>
    </r>
  </si>
  <si>
    <t>PHYSICS EQUATIONS</t>
  </si>
  <si>
    <t>Measured Actual Pipe Length  L</t>
  </si>
  <si>
    <t>EQUATION NOMENCLATURE</t>
  </si>
  <si>
    <r>
      <t xml:space="preserve">p: </t>
    </r>
    <r>
      <rPr>
        <sz val="12"/>
        <color theme="1"/>
        <rFont val="Calibri"/>
        <family val="2"/>
        <scheme val="minor"/>
      </rPr>
      <t>density of air</t>
    </r>
  </si>
  <si>
    <r>
      <t>λ</t>
    </r>
    <r>
      <rPr>
        <sz val="12"/>
        <color theme="1"/>
        <rFont val="Calibri"/>
        <family val="2"/>
        <scheme val="minor"/>
      </rPr>
      <t>: wave length</t>
    </r>
  </si>
  <si>
    <r>
      <t xml:space="preserve">ω: </t>
    </r>
    <r>
      <rPr>
        <sz val="12"/>
        <color theme="1"/>
        <rFont val="Calibri"/>
        <family val="2"/>
        <scheme val="minor"/>
      </rPr>
      <t>2π</t>
    </r>
  </si>
  <si>
    <r>
      <t xml:space="preserve">c: </t>
    </r>
    <r>
      <rPr>
        <sz val="12"/>
        <color theme="1"/>
        <rFont val="Calibri"/>
        <family val="2"/>
        <scheme val="minor"/>
      </rPr>
      <t>speed of sound</t>
    </r>
  </si>
  <si>
    <r>
      <t xml:space="preserve">t: </t>
    </r>
    <r>
      <rPr>
        <sz val="12"/>
        <color theme="1"/>
        <rFont val="Calibri"/>
        <family val="2"/>
        <scheme val="minor"/>
      </rPr>
      <t>period of standing wave</t>
    </r>
  </si>
  <si>
    <r>
      <t xml:space="preserve">k: </t>
    </r>
    <r>
      <rPr>
        <sz val="12"/>
        <color theme="1"/>
        <rFont val="Calibri"/>
        <family val="2"/>
        <scheme val="minor"/>
      </rPr>
      <t>wave number = 2π / λ</t>
    </r>
  </si>
  <si>
    <r>
      <t>e</t>
    </r>
    <r>
      <rPr>
        <sz val="12"/>
        <color theme="1"/>
        <rFont val="Calibri"/>
        <family val="2"/>
        <scheme val="minor"/>
      </rPr>
      <t>: base of natural logarithms (2.718)</t>
    </r>
  </si>
  <si>
    <t>Amplitude A  left to right  (incident wave)</t>
  </si>
  <si>
    <t xml:space="preserve">Amplitude B  right to left  (reflected wave) </t>
  </si>
  <si>
    <t>DIAPASON</t>
  </si>
  <si>
    <t>VIOLIN</t>
  </si>
  <si>
    <t>STOPPED FLUTE</t>
  </si>
  <si>
    <t>Input Impedance  1.168  Z0 Looking in   z2 Characteristic Impedance</t>
  </si>
  <si>
    <t>Frequency with Calculated Mouth Correction only</t>
  </si>
  <si>
    <t>Frequency with Calculated End Correction only</t>
  </si>
  <si>
    <t>Transmitted Power</t>
  </si>
  <si>
    <t>Transmitted Flow</t>
  </si>
  <si>
    <r>
      <rPr>
        <i/>
        <sz val="14"/>
        <color theme="1"/>
        <rFont val="Times New Roman"/>
        <family val="1"/>
      </rPr>
      <t>Z</t>
    </r>
    <r>
      <rPr>
        <i/>
        <vertAlign val="subscript"/>
        <sz val="14"/>
        <color theme="1"/>
        <rFont val="Times New Roman"/>
        <family val="1"/>
      </rPr>
      <t>L</t>
    </r>
    <r>
      <rPr>
        <i/>
        <sz val="14"/>
        <color theme="1"/>
        <rFont val="Times New Roman"/>
        <family val="1"/>
      </rPr>
      <t xml:space="preserve"> = ρ(L,t) / v(L,t)</t>
    </r>
  </si>
  <si>
    <r>
      <t xml:space="preserve">B/A </t>
    </r>
    <r>
      <rPr>
        <sz val="14"/>
        <color theme="1"/>
        <rFont val="Times New Roman"/>
        <family val="1"/>
      </rPr>
      <t xml:space="preserve">= </t>
    </r>
    <r>
      <rPr>
        <i/>
        <sz val="14"/>
        <color theme="1"/>
        <rFont val="Times New Roman"/>
        <family val="1"/>
      </rPr>
      <t>e</t>
    </r>
    <r>
      <rPr>
        <i/>
        <vertAlign val="superscript"/>
        <sz val="14"/>
        <color theme="1"/>
        <rFont val="Times New Roman"/>
        <family val="1"/>
      </rPr>
      <t xml:space="preserve"> -2jkL </t>
    </r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Z</t>
    </r>
    <r>
      <rPr>
        <i/>
        <vertAlign val="subscript"/>
        <sz val="14"/>
        <color theme="1"/>
        <rFont val="Times New Roman"/>
        <family val="1"/>
      </rPr>
      <t>L</t>
    </r>
    <r>
      <rPr>
        <sz val="14"/>
        <color theme="1"/>
        <rFont val="Times New Roman"/>
        <family val="1"/>
      </rPr>
      <t xml:space="preserve"> – Zo) / (</t>
    </r>
    <r>
      <rPr>
        <i/>
        <sz val="14"/>
        <color theme="1"/>
        <rFont val="Times New Roman"/>
        <family val="1"/>
      </rPr>
      <t>Z</t>
    </r>
    <r>
      <rPr>
        <i/>
        <vertAlign val="subscript"/>
        <sz val="14"/>
        <color theme="1"/>
        <rFont val="Times New Roman"/>
        <family val="1"/>
      </rPr>
      <t xml:space="preserve">L </t>
    </r>
    <r>
      <rPr>
        <sz val="14"/>
        <color theme="1"/>
        <rFont val="Times New Roman"/>
        <family val="1"/>
      </rPr>
      <t>+ Zo)</t>
    </r>
  </si>
  <si>
    <r>
      <t>Z</t>
    </r>
    <r>
      <rPr>
        <vertAlign val="subscript"/>
        <sz val="14"/>
        <color theme="1"/>
        <rFont val="Times New Roman"/>
        <family val="1"/>
      </rPr>
      <t>IN closed end</t>
    </r>
    <r>
      <rPr>
        <sz val="14"/>
        <color theme="1"/>
        <rFont val="Times New Roman"/>
        <family val="1"/>
      </rPr>
      <t xml:space="preserve"> = </t>
    </r>
    <r>
      <rPr>
        <i/>
        <sz val="14"/>
        <color theme="1"/>
        <rFont val="Times New Roman"/>
        <family val="1"/>
      </rPr>
      <t>-jpc 1/tan</t>
    </r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kL</t>
    </r>
    <r>
      <rPr>
        <sz val="14"/>
        <color theme="1"/>
        <rFont val="Times New Roman"/>
        <family val="1"/>
      </rPr>
      <t>)</t>
    </r>
  </si>
  <si>
    <t>Z load Z2- Z input Z1</t>
  </si>
  <si>
    <t>Input Impedance  8.23</t>
  </si>
  <si>
    <t>Input Z stopped (reactance) 8.24</t>
  </si>
  <si>
    <t>Input Z open (reactance)  8.25</t>
  </si>
  <si>
    <t>ZL (x=L)             p/U    z1   8.18</t>
  </si>
  <si>
    <t>Superposition (pressure)  p (x,t)   8.16</t>
  </si>
  <si>
    <t>Characteristic Impedance of pipe  Zo 8.19</t>
  </si>
  <si>
    <t>Reflection Factor  B/A   8.20</t>
  </si>
  <si>
    <r>
      <t xml:space="preserve">S </t>
    </r>
    <r>
      <rPr>
        <sz val="12"/>
        <color theme="1"/>
        <rFont val="Calibri"/>
        <family val="2"/>
        <scheme val="minor"/>
      </rPr>
      <t>: calculated pipe cross section area</t>
    </r>
  </si>
  <si>
    <t>Zo = pc/S</t>
  </si>
  <si>
    <t xml:space="preserve">  Reflected Flow</t>
  </si>
  <si>
    <t>Superposition (particle volume flow) U (x,t)  8.17</t>
  </si>
  <si>
    <t>mW</t>
  </si>
  <si>
    <t>Alternative Calculated Mouth Correction</t>
  </si>
  <si>
    <t>sound power</t>
  </si>
  <si>
    <t>SOUND PRESSURE/SOUND POWER CALCULATOR</t>
  </si>
  <si>
    <r>
      <t>v</t>
    </r>
    <r>
      <rPr>
        <sz val="12"/>
        <color theme="1"/>
        <rFont val="Calibri"/>
        <family val="2"/>
        <scheme val="minor"/>
      </rPr>
      <t>: instantaneous particle volume flow</t>
    </r>
  </si>
  <si>
    <t>Calculated True Period   T</t>
  </si>
  <si>
    <t>Frequency reduction due to top end corrections only.</t>
  </si>
  <si>
    <t>Frequency reduction due to mouth correction only.</t>
  </si>
  <si>
    <t>Calculated halfwave period with End Correction only.</t>
  </si>
  <si>
    <t>Calculated halfwave period with Mouth Correction only.</t>
  </si>
  <si>
    <t>Calculated wavelength based on pipe half wavelength with top end correction</t>
  </si>
  <si>
    <t>Calculated True Wavelength</t>
  </si>
  <si>
    <r>
      <t>True Half Wavelength (</t>
    </r>
    <r>
      <rPr>
        <i/>
        <sz val="12"/>
        <color rgb="FFFF0000"/>
        <rFont val="Calibri"/>
        <family val="2"/>
        <scheme val="minor"/>
      </rPr>
      <t>quarter wavelength</t>
    </r>
    <r>
      <rPr>
        <sz val="12"/>
        <color theme="1"/>
        <rFont val="Calibri"/>
        <family val="2"/>
        <scheme val="minor"/>
      </rPr>
      <t>)</t>
    </r>
  </si>
  <si>
    <r>
      <t>True Half Wavelength Period (</t>
    </r>
    <r>
      <rPr>
        <i/>
        <sz val="12"/>
        <color rgb="FFFF0000"/>
        <rFont val="Calibri"/>
        <family val="2"/>
        <scheme val="minor"/>
      </rPr>
      <t>quarterwave</t>
    </r>
    <r>
      <rPr>
        <sz val="12"/>
        <color theme="1"/>
        <rFont val="Calibri"/>
        <family val="2"/>
        <scheme val="minor"/>
      </rPr>
      <t>)</t>
    </r>
  </si>
  <si>
    <r>
      <t>Difference between true halfwave (</t>
    </r>
    <r>
      <rPr>
        <i/>
        <sz val="12"/>
        <color rgb="FFFF0000"/>
        <rFont val="Calibri"/>
        <family val="2"/>
        <scheme val="minor"/>
      </rPr>
      <t>quarterwave</t>
    </r>
    <r>
      <rPr>
        <sz val="12"/>
        <color theme="1"/>
        <rFont val="Calibri"/>
        <family val="2"/>
        <scheme val="minor"/>
      </rPr>
      <t>) pipe length and measured halfwave (</t>
    </r>
    <r>
      <rPr>
        <i/>
        <sz val="12"/>
        <color rgb="FFFF0000"/>
        <rFont val="Calibri"/>
        <family val="2"/>
        <scheme val="minor"/>
      </rPr>
      <t>quarterwave</t>
    </r>
    <r>
      <rPr>
        <sz val="12"/>
        <color theme="1"/>
        <rFont val="Calibri"/>
        <family val="2"/>
        <scheme val="minor"/>
      </rPr>
      <t>) pipe length.</t>
    </r>
  </si>
  <si>
    <r>
      <t>Difference between true pipe half wave (</t>
    </r>
    <r>
      <rPr>
        <i/>
        <sz val="12"/>
        <color rgb="FFFF0000"/>
        <rFont val="Calibri"/>
        <family val="2"/>
        <scheme val="minor"/>
      </rPr>
      <t>quarterwave</t>
    </r>
    <r>
      <rPr>
        <sz val="12"/>
        <color theme="1"/>
        <rFont val="Calibri"/>
        <family val="2"/>
        <scheme val="minor"/>
      </rPr>
      <t>)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frequency and actual halfwave (</t>
    </r>
    <r>
      <rPr>
        <i/>
        <sz val="12"/>
        <color rgb="FFFF0000"/>
        <rFont val="Calibri"/>
        <family val="2"/>
        <scheme val="minor"/>
      </rPr>
      <t>quarterwave</t>
    </r>
    <r>
      <rPr>
        <sz val="12"/>
        <color theme="1"/>
        <rFont val="Calibri"/>
        <family val="2"/>
        <scheme val="minor"/>
      </rPr>
      <t>) frequency.</t>
    </r>
  </si>
  <si>
    <r>
      <t>Calculated wavelength based on pipe half wavelength (</t>
    </r>
    <r>
      <rPr>
        <i/>
        <sz val="12"/>
        <color rgb="FFFF0000"/>
        <rFont val="Calibri"/>
        <family val="2"/>
        <scheme val="minor"/>
      </rPr>
      <t>quarter wavelength</t>
    </r>
    <r>
      <rPr>
        <sz val="12"/>
        <color theme="1"/>
        <rFont val="Calibri"/>
        <family val="2"/>
        <scheme val="minor"/>
      </rPr>
      <t>) with mouth correction</t>
    </r>
  </si>
  <si>
    <r>
      <t>Calculated frequency based on pipe half wavelength (</t>
    </r>
    <r>
      <rPr>
        <i/>
        <sz val="12"/>
        <color rgb="FFFF0000"/>
        <rFont val="Calibri"/>
        <family val="2"/>
        <scheme val="minor"/>
      </rPr>
      <t>quarter wavelength</t>
    </r>
    <r>
      <rPr>
        <sz val="12"/>
        <color theme="1"/>
        <rFont val="Calibri"/>
        <family val="2"/>
        <scheme val="minor"/>
      </rPr>
      <t>) with mouth and end correction.</t>
    </r>
  </si>
  <si>
    <r>
      <t xml:space="preserve">Calculated </t>
    </r>
    <r>
      <rPr>
        <i/>
        <sz val="12"/>
        <color rgb="FFFF0000"/>
        <rFont val="Calibri"/>
        <family val="2"/>
        <scheme val="minor"/>
      </rPr>
      <t>quarter</t>
    </r>
    <r>
      <rPr>
        <sz val="12"/>
        <color theme="1"/>
        <rFont val="Calibri"/>
        <family val="2"/>
        <scheme val="minor"/>
      </rPr>
      <t xml:space="preserve"> wavelength period with mouth correction.</t>
    </r>
  </si>
  <si>
    <r>
      <t>Actual pipe half wavelength (</t>
    </r>
    <r>
      <rPr>
        <i/>
        <sz val="12"/>
        <color rgb="FFFF0000"/>
        <rFont val="Calibri"/>
        <family val="2"/>
        <scheme val="minor"/>
      </rPr>
      <t>quarter</t>
    </r>
    <r>
      <rPr>
        <sz val="12"/>
        <color rgb="FFFF0000"/>
        <rFont val="Calibri"/>
        <family val="2"/>
        <scheme val="minor"/>
      </rPr>
      <t xml:space="preserve"> </t>
    </r>
    <r>
      <rPr>
        <i/>
        <sz val="12"/>
        <color rgb="FFFF0000"/>
        <rFont val="Calibri"/>
        <family val="2"/>
        <scheme val="minor"/>
      </rPr>
      <t>wavelength</t>
    </r>
    <r>
      <rPr>
        <sz val="12"/>
        <color theme="1"/>
        <rFont val="Calibri"/>
        <family val="2"/>
        <scheme val="minor"/>
      </rPr>
      <t>) period</t>
    </r>
  </si>
  <si>
    <t>EXCEL FORMULAE</t>
  </si>
  <si>
    <t>Degrees</t>
  </si>
  <si>
    <t>Measurement position relative to wavelength origin in cell E7.</t>
  </si>
  <si>
    <r>
      <t xml:space="preserve">ρ: </t>
    </r>
    <r>
      <rPr>
        <sz val="12"/>
        <color theme="1"/>
        <rFont val="Calibri"/>
        <family val="2"/>
        <scheme val="minor"/>
      </rPr>
      <t>instantaneous pressure  A' and B'</t>
    </r>
  </si>
  <si>
    <r>
      <rPr>
        <i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: left to right standing wave sound pressure peak amplitude</t>
    </r>
  </si>
  <si>
    <r>
      <t>B:</t>
    </r>
    <r>
      <rPr>
        <sz val="12"/>
        <color theme="1"/>
        <rFont val="Calibri"/>
        <family val="2"/>
        <scheme val="minor"/>
      </rPr>
      <t xml:space="preserve"> right to left standing wave sound pressure peak amplitude</t>
    </r>
  </si>
  <si>
    <r>
      <rPr>
        <i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 xml:space="preserve"> (</t>
    </r>
    <r>
      <rPr>
        <i/>
        <sz val="14"/>
        <color theme="1"/>
        <rFont val="Times New Roman"/>
        <family val="1"/>
      </rPr>
      <t xml:space="preserve">x,t) = </t>
    </r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Ae</t>
    </r>
    <r>
      <rPr>
        <i/>
        <vertAlign val="superscript"/>
        <sz val="14"/>
        <color theme="1"/>
        <rFont val="Times New Roman"/>
        <family val="1"/>
      </rPr>
      <t>-jkx</t>
    </r>
    <r>
      <rPr>
        <i/>
        <sz val="14"/>
        <color theme="1"/>
        <rFont val="Times New Roman"/>
        <family val="1"/>
      </rPr>
      <t xml:space="preserve"> + Be</t>
    </r>
    <r>
      <rPr>
        <i/>
        <vertAlign val="superscript"/>
        <sz val="14"/>
        <color theme="1"/>
        <rFont val="Times New Roman"/>
        <family val="1"/>
      </rPr>
      <t>jkx</t>
    </r>
    <r>
      <rPr>
        <sz val="14"/>
        <color theme="1"/>
        <rFont val="Times New Roman"/>
        <family val="1"/>
      </rPr>
      <t xml:space="preserve">) </t>
    </r>
    <r>
      <rPr>
        <i/>
        <sz val="14"/>
        <color theme="1"/>
        <rFont val="Times New Roman"/>
        <family val="1"/>
      </rPr>
      <t>e</t>
    </r>
    <r>
      <rPr>
        <i/>
        <vertAlign val="superscript"/>
        <sz val="14"/>
        <color theme="1"/>
        <rFont val="Times New Roman"/>
        <family val="1"/>
      </rPr>
      <t xml:space="preserve"> j(ωt)</t>
    </r>
  </si>
  <si>
    <r>
      <rPr>
        <i/>
        <vertAlign val="subscript"/>
        <sz val="14"/>
        <color theme="1"/>
        <rFont val="Times New Roman"/>
        <family val="1"/>
      </rPr>
      <t xml:space="preserve">U </t>
    </r>
    <r>
      <rPr>
        <i/>
        <sz val="14"/>
        <color theme="1"/>
        <rFont val="Times New Roman"/>
        <family val="1"/>
      </rPr>
      <t xml:space="preserve">(x,t) = </t>
    </r>
    <r>
      <rPr>
        <sz val="14"/>
        <color theme="1"/>
        <rFont val="Times New Roman"/>
        <family val="1"/>
      </rPr>
      <t>(S</t>
    </r>
    <r>
      <rPr>
        <i/>
        <sz val="14"/>
        <color theme="1"/>
        <rFont val="Times New Roman"/>
        <family val="1"/>
      </rPr>
      <t>/pc) (Ae</t>
    </r>
    <r>
      <rPr>
        <i/>
        <vertAlign val="superscript"/>
        <sz val="14"/>
        <color theme="1"/>
        <rFont val="Times New Roman"/>
        <family val="1"/>
      </rPr>
      <t>–jkx</t>
    </r>
    <r>
      <rPr>
        <i/>
        <sz val="14"/>
        <color theme="1"/>
        <rFont val="Times New Roman"/>
        <family val="1"/>
      </rPr>
      <t xml:space="preserve"> – B</t>
    </r>
    <r>
      <rPr>
        <sz val="14"/>
        <color theme="1"/>
        <rFont val="Times New Roman"/>
        <family val="1"/>
      </rPr>
      <t>e</t>
    </r>
    <r>
      <rPr>
        <i/>
        <vertAlign val="superscript"/>
        <sz val="14"/>
        <color theme="1"/>
        <rFont val="Times New Roman"/>
        <family val="1"/>
      </rPr>
      <t>jkx</t>
    </r>
    <r>
      <rPr>
        <i/>
        <sz val="14"/>
        <color theme="1"/>
        <rFont val="Times New Roman"/>
        <family val="1"/>
      </rPr>
      <t>)</t>
    </r>
    <r>
      <rPr>
        <sz val="14"/>
        <color theme="1"/>
        <rFont val="Times New Roman"/>
        <family val="1"/>
      </rPr>
      <t xml:space="preserve"> </t>
    </r>
    <r>
      <rPr>
        <i/>
        <sz val="14"/>
        <color theme="1"/>
        <rFont val="Times New Roman"/>
        <family val="1"/>
      </rPr>
      <t>e</t>
    </r>
    <r>
      <rPr>
        <i/>
        <vertAlign val="superscript"/>
        <sz val="14"/>
        <color theme="1"/>
        <rFont val="Times New Roman"/>
        <family val="1"/>
      </rPr>
      <t>j(ωt)</t>
    </r>
  </si>
  <si>
    <r>
      <rPr>
        <i/>
        <sz val="14"/>
        <color theme="1"/>
        <rFont val="Times New Roman"/>
        <family val="1"/>
      </rPr>
      <t xml:space="preserve">ZL = </t>
    </r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 xml:space="preserve">Ae </t>
    </r>
    <r>
      <rPr>
        <i/>
        <vertAlign val="superscript"/>
        <sz val="14"/>
        <color theme="1"/>
        <rFont val="Times New Roman"/>
        <family val="1"/>
      </rPr>
      <t>-jkL</t>
    </r>
    <r>
      <rPr>
        <i/>
        <sz val="14"/>
        <color theme="1"/>
        <rFont val="Times New Roman"/>
        <family val="1"/>
      </rPr>
      <t xml:space="preserve"> + Be </t>
    </r>
    <r>
      <rPr>
        <i/>
        <vertAlign val="superscript"/>
        <sz val="14"/>
        <color theme="1"/>
        <rFont val="Times New Roman"/>
        <family val="1"/>
      </rPr>
      <t>jkL</t>
    </r>
    <r>
      <rPr>
        <sz val="14"/>
        <color theme="1"/>
        <rFont val="Times New Roman"/>
        <family val="1"/>
      </rPr>
      <t>) / (S</t>
    </r>
    <r>
      <rPr>
        <i/>
        <sz val="14"/>
        <color theme="1"/>
        <rFont val="Times New Roman"/>
        <family val="1"/>
      </rPr>
      <t xml:space="preserve">/pc)e </t>
    </r>
    <r>
      <rPr>
        <i/>
        <vertAlign val="superscript"/>
        <sz val="14"/>
        <color theme="1"/>
        <rFont val="Times New Roman"/>
        <family val="1"/>
      </rPr>
      <t>–jkL</t>
    </r>
    <r>
      <rPr>
        <i/>
        <sz val="14"/>
        <color theme="1"/>
        <rFont val="Times New Roman"/>
        <family val="1"/>
      </rPr>
      <t xml:space="preserve"> – </t>
    </r>
    <r>
      <rPr>
        <sz val="14"/>
        <color theme="1"/>
        <rFont val="Times New Roman"/>
        <family val="1"/>
      </rPr>
      <t>(S</t>
    </r>
    <r>
      <rPr>
        <i/>
        <sz val="14"/>
        <color theme="1"/>
        <rFont val="Times New Roman"/>
        <family val="1"/>
      </rPr>
      <t>/pc</t>
    </r>
    <r>
      <rPr>
        <sz val="14"/>
        <color theme="1"/>
        <rFont val="Times New Roman"/>
        <family val="1"/>
      </rPr>
      <t>)e</t>
    </r>
    <r>
      <rPr>
        <i/>
        <sz val="14"/>
        <color theme="1"/>
        <rFont val="Times New Roman"/>
        <family val="1"/>
      </rPr>
      <t xml:space="preserve"> </t>
    </r>
    <r>
      <rPr>
        <i/>
        <vertAlign val="superscript"/>
        <sz val="14"/>
        <color theme="1"/>
        <rFont val="Times New Roman"/>
        <family val="1"/>
      </rPr>
      <t>jkL</t>
    </r>
    <r>
      <rPr>
        <sz val="14"/>
        <color theme="1"/>
        <rFont val="Times New Roman"/>
        <family val="1"/>
      </rPr>
      <t xml:space="preserve">))) </t>
    </r>
  </si>
  <si>
    <t>Z load</t>
  </si>
  <si>
    <t>Z input</t>
  </si>
  <si>
    <t>Instantaneous pressure at x=0 &gt;&gt;    1.160</t>
  </si>
  <si>
    <t>Instantaneous particle acoustic flow  &gt;&gt;  U (x,t)</t>
  </si>
  <si>
    <t>Instantaneous pressure &lt;&lt;  p (x,t)</t>
  </si>
  <si>
    <t>Instantaneous particle acoustic flow  &lt;&lt;  U (x,t)</t>
  </si>
  <si>
    <t>360/0</t>
  </si>
  <si>
    <t>PART ONE</t>
  </si>
  <si>
    <t>PART TWO</t>
  </si>
  <si>
    <t>B11*EXP((-B31*$E$8)+B13*EXP(B31*$E$8))*EXP(2*pi()* B35/1000)</t>
  </si>
  <si>
    <t>(B43/10^6)/(B34*B33)*(B11*EXP((-B31*$E$8)-B13*EXP(B31*$E$8))*EXP(2*PI()*B35/1000))</t>
  </si>
  <si>
    <t>B15/B16</t>
  </si>
  <si>
    <t>B11*EXP(-B31*B39/1000)+B13*EXP(B31*B39/1000)
/(B11/(B33*B32)*EXP(-B31*B39/1000)-
B13/(B32*B33)*EXP(B31*(B39/1000)))</t>
  </si>
  <si>
    <t>B32*B33/B43/(10^6)</t>
  </si>
  <si>
    <t>EXP(-2*B31*B39/1000)*(B17-B19) /(B17+B19)</t>
  </si>
  <si>
    <t>B31*B32*(1+B19)/(1-B19)</t>
  </si>
  <si>
    <t>B19*((B17*COS(B31*B39/1000)+B19*SIN(B31*B39/1000))/(B17*SIN(B31*B39/1000)+B19*COS(B31*B39/1000)))</t>
  </si>
  <si>
    <t>-D32*D33*1/TAN(B31*B39/1000)</t>
  </si>
  <si>
    <t>-D32*D33*TAN(B31*B39/1000)</t>
  </si>
  <si>
    <t>(B17-B22)^2/(B17+B22)^2</t>
  </si>
  <si>
    <t>2*B22/(B17+B22)</t>
  </si>
  <si>
    <t>B22-B17</t>
  </si>
  <si>
    <t>2*PI()/(B36/1000)</t>
  </si>
  <si>
    <t>1/B34*1000</t>
  </si>
  <si>
    <t>B32/B34*1000</t>
  </si>
  <si>
    <r>
      <t xml:space="preserve">B36/2 </t>
    </r>
    <r>
      <rPr>
        <i/>
        <sz val="12"/>
        <color rgb="FFFF0000"/>
        <rFont val="Calibri"/>
        <family val="2"/>
        <scheme val="minor"/>
      </rPr>
      <t>(4)</t>
    </r>
  </si>
  <si>
    <r>
      <t>B35/2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rgb="FFFF0000"/>
        <rFont val="Calibri"/>
        <family val="2"/>
        <scheme val="minor"/>
      </rPr>
      <t>(4)</t>
    </r>
  </si>
  <si>
    <t>2*(SQRT(B43/PI()))</t>
  </si>
  <si>
    <t>B45*B46</t>
  </si>
  <si>
    <t>SQRT(B47/PI()))</t>
  </si>
  <si>
    <t>B37-B39</t>
  </si>
  <si>
    <t>B32/(B39/1000)/2 (4)</t>
  </si>
  <si>
    <r>
      <t>1/(2</t>
    </r>
    <r>
      <rPr>
        <i/>
        <sz val="12"/>
        <color rgb="FFFF0000"/>
        <rFont val="Calibri"/>
        <family val="2"/>
        <scheme val="minor"/>
      </rPr>
      <t xml:space="preserve"> (4)</t>
    </r>
    <r>
      <rPr>
        <sz val="12"/>
        <color theme="1"/>
        <rFont val="Calibri"/>
        <family val="2"/>
        <scheme val="minor"/>
      </rPr>
      <t>*B50)*1000</t>
    </r>
  </si>
  <si>
    <t>B50-B34</t>
  </si>
  <si>
    <t>0.6133*B40/2</t>
  </si>
  <si>
    <r>
      <t xml:space="preserve">2.3*(B40 </t>
    </r>
    <r>
      <rPr>
        <i/>
        <sz val="12"/>
        <color rgb="FFFF0000"/>
        <rFont val="Calibri"/>
        <family val="2"/>
        <scheme val="minor"/>
      </rPr>
      <t>(D42</t>
    </r>
    <r>
      <rPr>
        <sz val="12"/>
        <color rgb="FFFF0000"/>
        <rFont val="Calibri"/>
        <family val="2"/>
        <scheme val="minor"/>
      </rPr>
      <t>)</t>
    </r>
    <r>
      <rPr>
        <sz val="12"/>
        <color theme="1"/>
        <rFont val="Calibri"/>
        <family val="2"/>
        <scheme val="minor"/>
      </rPr>
      <t>/2)^2/SQRT(B45*B46)</t>
    </r>
  </si>
  <si>
    <t>1.3*(B43/B47)*B48</t>
  </si>
  <si>
    <t>B32/(2*(B53+B39)/1000)</t>
  </si>
  <si>
    <t>B32/(2*(4*)(B39+B54)*1000)</t>
  </si>
  <si>
    <t>(B53+B39)*2</t>
  </si>
  <si>
    <t>(B54+B53+B39)*2</t>
  </si>
  <si>
    <r>
      <t xml:space="preserve">B32*B60/2 </t>
    </r>
    <r>
      <rPr>
        <i/>
        <sz val="12"/>
        <color rgb="FFFF0000"/>
        <rFont val="Calibri"/>
        <family val="2"/>
        <scheme val="minor"/>
      </rPr>
      <t>(D59)</t>
    </r>
    <r>
      <rPr>
        <sz val="12"/>
        <color theme="1"/>
        <rFont val="Calibri"/>
        <family val="2"/>
        <scheme val="minor"/>
      </rPr>
      <t>*1000</t>
    </r>
  </si>
  <si>
    <r>
      <t>(B54+B39)*2</t>
    </r>
    <r>
      <rPr>
        <sz val="12"/>
        <color rgb="FFFF0000"/>
        <rFont val="Calibri"/>
        <family val="2"/>
        <scheme val="minor"/>
      </rPr>
      <t xml:space="preserve"> (*4)</t>
    </r>
  </si>
  <si>
    <t>1-(B61/B34)</t>
  </si>
  <si>
    <t>1-(B60/B36)</t>
  </si>
  <si>
    <t>(B38-B67)*1000</t>
  </si>
  <si>
    <t>B56-B34</t>
  </si>
  <si>
    <t>B57-B34</t>
  </si>
  <si>
    <t>1/B56*1000/2</t>
  </si>
  <si>
    <t>1/B57*1000/2</t>
  </si>
  <si>
    <t>1/D61*1000/2</t>
  </si>
  <si>
    <t>(B38-B51)*1000</t>
  </si>
  <si>
    <r>
      <t xml:space="preserve">1/B50*1000 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rgb="FFFF0000"/>
        <rFont val="Calibri"/>
        <family val="2"/>
        <scheme val="minor"/>
      </rPr>
      <t>(/2)</t>
    </r>
  </si>
  <si>
    <r>
      <t>ρ</t>
    </r>
    <r>
      <rPr>
        <vertAlign val="subscript"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 xml:space="preserve"> (</t>
    </r>
    <r>
      <rPr>
        <i/>
        <sz val="14"/>
        <color theme="1"/>
        <rFont val="Times New Roman"/>
        <family val="1"/>
      </rPr>
      <t>x,t,θ</t>
    </r>
    <r>
      <rPr>
        <sz val="14"/>
        <color theme="1"/>
        <rFont val="Times New Roman"/>
        <family val="1"/>
      </rPr>
      <t>)</t>
    </r>
    <r>
      <rPr>
        <i/>
        <sz val="14"/>
        <color theme="1"/>
        <rFont val="Times New Roman"/>
        <family val="1"/>
      </rPr>
      <t xml:space="preserve"> = A sin e</t>
    </r>
    <r>
      <rPr>
        <i/>
        <vertAlign val="superscript"/>
        <sz val="14"/>
        <color theme="1"/>
        <rFont val="Times New Roman"/>
        <family val="1"/>
      </rPr>
      <t>[j(-kx+ωt + θ)]</t>
    </r>
  </si>
  <si>
    <r>
      <rPr>
        <i/>
        <vertAlign val="subscript"/>
        <sz val="14"/>
        <color theme="1"/>
        <rFont val="Times New Roman"/>
        <family val="1"/>
      </rPr>
      <t xml:space="preserve">U </t>
    </r>
    <r>
      <rPr>
        <i/>
        <sz val="14"/>
        <color theme="1"/>
        <rFont val="Times New Roman"/>
        <family val="1"/>
      </rPr>
      <t>(x,t,θ) = (SA/pc)sin e</t>
    </r>
    <r>
      <rPr>
        <i/>
        <vertAlign val="superscript"/>
        <sz val="14"/>
        <color theme="1"/>
        <rFont val="Times New Roman"/>
        <family val="1"/>
      </rPr>
      <t>[j(-kx+ωt+θ)]</t>
    </r>
  </si>
  <si>
    <r>
      <t>ρ</t>
    </r>
    <r>
      <rPr>
        <vertAlign val="subscript"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 xml:space="preserve"> (</t>
    </r>
    <r>
      <rPr>
        <i/>
        <sz val="14"/>
        <color theme="1"/>
        <rFont val="Times New Roman"/>
        <family val="1"/>
      </rPr>
      <t>x,t,θ) = B sin e</t>
    </r>
    <r>
      <rPr>
        <i/>
        <vertAlign val="superscript"/>
        <sz val="14"/>
        <color theme="1"/>
        <rFont val="Times New Roman"/>
        <family val="1"/>
      </rPr>
      <t>[j(kx+ωt+θ)]</t>
    </r>
  </si>
  <si>
    <r>
      <rPr>
        <i/>
        <vertAlign val="subscript"/>
        <sz val="14"/>
        <color theme="1"/>
        <rFont val="Times New Roman"/>
        <family val="1"/>
      </rPr>
      <t xml:space="preserve">U </t>
    </r>
    <r>
      <rPr>
        <i/>
        <sz val="14"/>
        <color theme="1"/>
        <rFont val="Times New Roman"/>
        <family val="1"/>
      </rPr>
      <t>(x,t,θ) = (SB/pc)sin e</t>
    </r>
    <r>
      <rPr>
        <i/>
        <vertAlign val="superscript"/>
        <sz val="14"/>
        <color theme="1"/>
        <rFont val="Times New Roman"/>
        <family val="1"/>
      </rPr>
      <t>[j(kx+ωt+θ)]</t>
    </r>
  </si>
  <si>
    <r>
      <t>Z</t>
    </r>
    <r>
      <rPr>
        <vertAlign val="subscript"/>
        <sz val="14"/>
        <color theme="1"/>
        <rFont val="Times New Roman"/>
        <family val="1"/>
      </rPr>
      <t>IN open end</t>
    </r>
    <r>
      <rPr>
        <sz val="14"/>
        <color theme="1"/>
        <rFont val="Times New Roman"/>
        <family val="1"/>
      </rPr>
      <t xml:space="preserve"> = </t>
    </r>
    <r>
      <rPr>
        <i/>
        <sz val="14"/>
        <color theme="1"/>
        <rFont val="Times New Roman"/>
        <family val="1"/>
      </rPr>
      <t>jpc tan</t>
    </r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kL</t>
    </r>
    <r>
      <rPr>
        <sz val="14"/>
        <color theme="1"/>
        <rFont val="Times New Roman"/>
        <family val="1"/>
      </rPr>
      <t>)</t>
    </r>
  </si>
  <si>
    <t>one degree = 0.021msec</t>
  </si>
  <si>
    <r>
      <t xml:space="preserve">pi()*(B40/2)^2      </t>
    </r>
    <r>
      <rPr>
        <i/>
        <sz val="12"/>
        <color rgb="FFFF0000"/>
        <rFont val="Calibri"/>
        <family val="2"/>
        <scheme val="minor"/>
      </rPr>
      <t xml:space="preserve"> (D39*D40)       </t>
    </r>
    <r>
      <rPr>
        <sz val="12"/>
        <color theme="1"/>
        <rFont val="Calibri"/>
        <family val="2"/>
        <scheme val="minor"/>
      </rPr>
      <t xml:space="preserve">  1mm = 0.137 degrees</t>
    </r>
  </si>
  <si>
    <t>720/0</t>
  </si>
  <si>
    <t>4*B17*B22/(B17+B22)^2                                        Degrees</t>
  </si>
  <si>
    <t>(B17-B22)/(B17+B22)                                               Radians</t>
  </si>
  <si>
    <t>B9*SIN(EXP(-B31*%E$8)+(2*PI()*B35/1000)+$G$27)</t>
  </si>
  <si>
    <t>(B43/10^6)*B11/(B32*B33)*SIN(EXP(-B31*$E$8)+
(2*PI()*B35/1000)+$G$27)</t>
  </si>
  <si>
    <t>B10*SIN(EXP(B31*$E$8)+(2*PI()*B35/1000)+$G$27)</t>
  </si>
  <si>
    <t>(B43/10^6)*B13/(B32*B33)*SIN(EXP(B31*$E$8)+
(2*PI()*B35/1000)+$G$27)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</si>
</sst>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"/>
    <numFmt numFmtId="167" formatCode="0.0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vertAlign val="subscript"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vertAlign val="superscript"/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0"/>
      <color theme="1"/>
      <name val="Times New Roman"/>
      <family val="1"/>
    </font>
    <font>
      <sz val="14"/>
      <color rgb="FF00000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/>
    <xf numFmtId="0" fontId="2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167" fontId="18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1" xfId="0" quotePrefix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2" fillId="0" borderId="7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2" fontId="2" fillId="0" borderId="0" xfId="0" applyNumberFormat="1" applyFont="1" applyBorder="1" applyAlignment="1">
      <alignment vertical="center"/>
    </xf>
    <xf numFmtId="2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quotePrefix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1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1" fillId="0" borderId="0" xfId="0" applyFont="1" applyAlignment="1">
      <alignment horizontal="left" indent="10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Reflected Power</c:v>
          </c:tx>
          <c:marker>
            <c:symbol val="none"/>
          </c:marker>
          <c:cat>
            <c:strRef>
              <c:f>'DIAPASON COEFFICIENTS'!$A$3:$A$147</c:f>
              <c:strCache>
                <c:ptCount val="1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360/0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720/0</c:v>
                </c:pt>
              </c:strCache>
            </c:strRef>
          </c:cat>
          <c:val>
            <c:numRef>
              <c:f>'DIAPASON COEFFICIENTS'!$B$3:$B$147</c:f>
              <c:numCache>
                <c:formatCode>General</c:formatCode>
                <c:ptCount val="145"/>
                <c:pt idx="0">
                  <c:v>0.78332220343173153</c:v>
                </c:pt>
                <c:pt idx="1">
                  <c:v>1.1668374314553449</c:v>
                </c:pt>
                <c:pt idx="2">
                  <c:v>1.6487372311519155</c:v>
                </c:pt>
                <c:pt idx="3">
                  <c:v>2.1963448703021942</c:v>
                </c:pt>
                <c:pt idx="4">
                  <c:v>2.7296978898361259</c:v>
                </c:pt>
                <c:pt idx="5">
                  <c:v>3.1283574298800261</c:v>
                </c:pt>
                <c:pt idx="6">
                  <c:v>3.2756378726912412</c:v>
                </c:pt>
                <c:pt idx="7">
                  <c:v>3.1227817777490392</c:v>
                </c:pt>
                <c:pt idx="8">
                  <c:v>2.7203330001279213</c:v>
                </c:pt>
                <c:pt idx="9">
                  <c:v>2.1856603872269029</c:v>
                </c:pt>
                <c:pt idx="10">
                  <c:v>1.6387211181047725</c:v>
                </c:pt>
                <c:pt idx="11">
                  <c:v>1.1585315418734405</c:v>
                </c:pt>
                <c:pt idx="12">
                  <c:v>0.77697466327160714</c:v>
                </c:pt>
                <c:pt idx="13">
                  <c:v>0.49376170785597451</c:v>
                </c:pt>
                <c:pt idx="14">
                  <c:v>0.29370997760176254</c:v>
                </c:pt>
                <c:pt idx="15">
                  <c:v>0.15829129105606882</c:v>
                </c:pt>
                <c:pt idx="16">
                  <c:v>7.1303311943946901E-2</c:v>
                </c:pt>
                <c:pt idx="17">
                  <c:v>2.0976186034375489E-2</c:v>
                </c:pt>
                <c:pt idx="18">
                  <c:v>6.5337112668765356E-4</c:v>
                </c:pt>
                <c:pt idx="19">
                  <c:v>9.5983031572255649E-3</c:v>
                </c:pt>
                <c:pt idx="20">
                  <c:v>5.5470736536527641E-2</c:v>
                </c:pt>
                <c:pt idx="21">
                  <c:v>0.16146353757089996</c:v>
                </c:pt>
                <c:pt idx="22">
                  <c:v>0.38693108367232054</c:v>
                </c:pt>
                <c:pt idx="23">
                  <c:v>0.8944005991101075</c:v>
                </c:pt>
                <c:pt idx="24">
                  <c:v>2.2214951520247244</c:v>
                </c:pt>
                <c:pt idx="25">
                  <c:v>6.9086999947799601</c:v>
                </c:pt>
                <c:pt idx="26">
                  <c:v>42.578737811610807</c:v>
                </c:pt>
                <c:pt idx="27">
                  <c:v>1221.955004860743</c:v>
                </c:pt>
                <c:pt idx="28">
                  <c:v>32.262075345979987</c:v>
                </c:pt>
                <c:pt idx="29">
                  <c:v>11.381695785454815</c:v>
                </c:pt>
                <c:pt idx="30">
                  <c:v>6.4111270599876269</c:v>
                </c:pt>
                <c:pt idx="31">
                  <c:v>4.4199689198361058</c:v>
                </c:pt>
                <c:pt idx="32">
                  <c:v>3.4077768901353491</c:v>
                </c:pt>
                <c:pt idx="33">
                  <c:v>2.8185720458049786</c:v>
                </c:pt>
                <c:pt idx="34">
                  <c:v>2.4451020877526606</c:v>
                </c:pt>
                <c:pt idx="35">
                  <c:v>2.1948094657643176</c:v>
                </c:pt>
                <c:pt idx="36">
                  <c:v>2.0209703617427119</c:v>
                </c:pt>
                <c:pt idx="37">
                  <c:v>1.8978542448288021</c:v>
                </c:pt>
                <c:pt idx="38">
                  <c:v>1.8103900318849255</c:v>
                </c:pt>
                <c:pt idx="39">
                  <c:v>1.7493924983095479</c:v>
                </c:pt>
                <c:pt idx="40">
                  <c:v>1.7091805648153284</c:v>
                </c:pt>
                <c:pt idx="41">
                  <c:v>1.6863273760423536</c:v>
                </c:pt>
                <c:pt idx="42">
                  <c:v>1.6789964072966446</c:v>
                </c:pt>
                <c:pt idx="43">
                  <c:v>1.686615425717122</c:v>
                </c:pt>
                <c:pt idx="44">
                  <c:v>1.7097793155564946</c:v>
                </c:pt>
                <c:pt idx="45">
                  <c:v>1.7503511432078114</c:v>
                </c:pt>
                <c:pt idx="46">
                  <c:v>1.8117933309139846</c:v>
                </c:pt>
                <c:pt idx="47">
                  <c:v>1.8998398313526683</c:v>
                </c:pt>
                <c:pt idx="48">
                  <c:v>2.0237612248919907</c:v>
                </c:pt>
                <c:pt idx="49">
                  <c:v>2.1987769813785438</c:v>
                </c:pt>
                <c:pt idx="50">
                  <c:v>2.4508962632355011</c:v>
                </c:pt>
                <c:pt idx="51">
                  <c:v>2.8274153834482316</c:v>
                </c:pt>
                <c:pt idx="52">
                  <c:v>3.4222103143791704</c:v>
                </c:pt>
                <c:pt idx="53">
                  <c:v>4.4460770507195253</c:v>
                </c:pt>
                <c:pt idx="54">
                  <c:v>6.4669344122487127</c:v>
                </c:pt>
                <c:pt idx="55">
                  <c:v>11.543506545330358</c:v>
                </c:pt>
                <c:pt idx="56">
                  <c:v>33.217005504456814</c:v>
                </c:pt>
                <c:pt idx="57">
                  <c:v>1540.7497336368529</c:v>
                </c:pt>
                <c:pt idx="58">
                  <c:v>40.501442368744762</c:v>
                </c:pt>
                <c:pt idx="59">
                  <c:v>6.7343534647248893</c:v>
                </c:pt>
                <c:pt idx="60">
                  <c:v>2.179992241128816</c:v>
                </c:pt>
                <c:pt idx="61">
                  <c:v>0.87988326543629003</c:v>
                </c:pt>
                <c:pt idx="62">
                  <c:v>0.38077651053494382</c:v>
                </c:pt>
                <c:pt idx="63">
                  <c:v>0.15859553148305955</c:v>
                </c:pt>
                <c:pt idx="64">
                  <c:v>5.4138745679624692E-2</c:v>
                </c:pt>
                <c:pt idx="65">
                  <c:v>9.1223730874323873E-3</c:v>
                </c:pt>
                <c:pt idx="66">
                  <c:v>7.7610074576472574E-4</c:v>
                </c:pt>
                <c:pt idx="67">
                  <c:v>2.1645305394246354E-2</c:v>
                </c:pt>
                <c:pt idx="68">
                  <c:v>7.2594729919014001E-2</c:v>
                </c:pt>
                <c:pt idx="69">
                  <c:v>0.16038383668856557</c:v>
                </c:pt>
                <c:pt idx="70">
                  <c:v>0.29687555225829904</c:v>
                </c:pt>
                <c:pt idx="71">
                  <c:v>0.49834407611019604</c:v>
                </c:pt>
                <c:pt idx="72">
                  <c:v>0.78332220343172987</c:v>
                </c:pt>
                <c:pt idx="73">
                  <c:v>1.1668374314553449</c:v>
                </c:pt>
                <c:pt idx="74">
                  <c:v>1.6487372311519155</c:v>
                </c:pt>
                <c:pt idx="75">
                  <c:v>2.1963448703021942</c:v>
                </c:pt>
                <c:pt idx="76">
                  <c:v>2.7296978898361259</c:v>
                </c:pt>
                <c:pt idx="77">
                  <c:v>3.1283574298800261</c:v>
                </c:pt>
                <c:pt idx="78">
                  <c:v>3.2756378726912412</c:v>
                </c:pt>
                <c:pt idx="79">
                  <c:v>3.1227817777490392</c:v>
                </c:pt>
                <c:pt idx="80">
                  <c:v>2.7203330001279213</c:v>
                </c:pt>
                <c:pt idx="81">
                  <c:v>2.1856603872269029</c:v>
                </c:pt>
                <c:pt idx="82">
                  <c:v>1.6387211181047725</c:v>
                </c:pt>
                <c:pt idx="83">
                  <c:v>1.1585315418734405</c:v>
                </c:pt>
                <c:pt idx="84">
                  <c:v>0.77697466327160714</c:v>
                </c:pt>
                <c:pt idx="85">
                  <c:v>0.49376170785597451</c:v>
                </c:pt>
                <c:pt idx="86">
                  <c:v>0.29370997760176254</c:v>
                </c:pt>
                <c:pt idx="87">
                  <c:v>0.15829129105606882</c:v>
                </c:pt>
                <c:pt idx="88">
                  <c:v>7.1303311943946901E-2</c:v>
                </c:pt>
                <c:pt idx="89">
                  <c:v>2.0976186034375489E-2</c:v>
                </c:pt>
                <c:pt idx="90">
                  <c:v>6.5337112668765356E-4</c:v>
                </c:pt>
                <c:pt idx="91">
                  <c:v>9.5983031572255649E-3</c:v>
                </c:pt>
                <c:pt idx="92">
                  <c:v>5.5470736536527641E-2</c:v>
                </c:pt>
                <c:pt idx="93">
                  <c:v>0.16146353757089996</c:v>
                </c:pt>
                <c:pt idx="94">
                  <c:v>0.38693108367232054</c:v>
                </c:pt>
                <c:pt idx="95">
                  <c:v>0.8944005991101075</c:v>
                </c:pt>
                <c:pt idx="96">
                  <c:v>2.2214951520247244</c:v>
                </c:pt>
                <c:pt idx="97">
                  <c:v>6.9086999947799601</c:v>
                </c:pt>
                <c:pt idx="98">
                  <c:v>42.578737811610807</c:v>
                </c:pt>
                <c:pt idx="99">
                  <c:v>1221.955004860743</c:v>
                </c:pt>
                <c:pt idx="100">
                  <c:v>32.262075345979987</c:v>
                </c:pt>
                <c:pt idx="101">
                  <c:v>11.381695785454815</c:v>
                </c:pt>
                <c:pt idx="102">
                  <c:v>6.4111270599876269</c:v>
                </c:pt>
                <c:pt idx="103">
                  <c:v>4.4199689198361058</c:v>
                </c:pt>
                <c:pt idx="104">
                  <c:v>3.4077768901353491</c:v>
                </c:pt>
                <c:pt idx="105">
                  <c:v>2.8185720458049786</c:v>
                </c:pt>
                <c:pt idx="106">
                  <c:v>2.4451020877526606</c:v>
                </c:pt>
                <c:pt idx="107">
                  <c:v>2.1948094657643176</c:v>
                </c:pt>
                <c:pt idx="108">
                  <c:v>2.0209703617427119</c:v>
                </c:pt>
                <c:pt idx="109">
                  <c:v>1.8978542448288021</c:v>
                </c:pt>
                <c:pt idx="110">
                  <c:v>1.8103900318849255</c:v>
                </c:pt>
                <c:pt idx="111">
                  <c:v>1.7493924983095479</c:v>
                </c:pt>
                <c:pt idx="112">
                  <c:v>1.7091805648153284</c:v>
                </c:pt>
                <c:pt idx="113">
                  <c:v>1.6863273760423536</c:v>
                </c:pt>
                <c:pt idx="114">
                  <c:v>1.6789964072966446</c:v>
                </c:pt>
                <c:pt idx="115">
                  <c:v>1.686615425717122</c:v>
                </c:pt>
                <c:pt idx="116">
                  <c:v>1.7097793155564946</c:v>
                </c:pt>
                <c:pt idx="117">
                  <c:v>1.7503511432078114</c:v>
                </c:pt>
                <c:pt idx="118">
                  <c:v>1.8117933309139846</c:v>
                </c:pt>
                <c:pt idx="119">
                  <c:v>1.8998398313526683</c:v>
                </c:pt>
                <c:pt idx="120">
                  <c:v>2.0237612248919907</c:v>
                </c:pt>
                <c:pt idx="121">
                  <c:v>2.1987769813785438</c:v>
                </c:pt>
                <c:pt idx="122">
                  <c:v>2.4508962632355011</c:v>
                </c:pt>
                <c:pt idx="123">
                  <c:v>2.8274153834482316</c:v>
                </c:pt>
                <c:pt idx="124">
                  <c:v>3.4222103143791704</c:v>
                </c:pt>
                <c:pt idx="125">
                  <c:v>4.4460770507195253</c:v>
                </c:pt>
                <c:pt idx="126">
                  <c:v>6.4669344122487127</c:v>
                </c:pt>
                <c:pt idx="127">
                  <c:v>11.543506545330358</c:v>
                </c:pt>
                <c:pt idx="128">
                  <c:v>33.217005504456814</c:v>
                </c:pt>
                <c:pt idx="129">
                  <c:v>1540.7497336368529</c:v>
                </c:pt>
                <c:pt idx="130">
                  <c:v>40.501442368744762</c:v>
                </c:pt>
                <c:pt idx="131">
                  <c:v>6.7343534647248893</c:v>
                </c:pt>
                <c:pt idx="132">
                  <c:v>2.179992241128816</c:v>
                </c:pt>
                <c:pt idx="133">
                  <c:v>0.87988326543629003</c:v>
                </c:pt>
                <c:pt idx="134">
                  <c:v>0.38077651053494382</c:v>
                </c:pt>
                <c:pt idx="135">
                  <c:v>0.15859553148305955</c:v>
                </c:pt>
                <c:pt idx="136">
                  <c:v>5.4138745679624692E-2</c:v>
                </c:pt>
                <c:pt idx="137">
                  <c:v>9.1223730874323873E-3</c:v>
                </c:pt>
                <c:pt idx="138">
                  <c:v>7.7610074576472574E-4</c:v>
                </c:pt>
                <c:pt idx="139">
                  <c:v>2.1645305394246354E-2</c:v>
                </c:pt>
                <c:pt idx="140">
                  <c:v>7.2594729919014001E-2</c:v>
                </c:pt>
                <c:pt idx="141">
                  <c:v>0.16038383668856557</c:v>
                </c:pt>
                <c:pt idx="142">
                  <c:v>0.29687555225829904</c:v>
                </c:pt>
                <c:pt idx="143">
                  <c:v>0.49834407611019604</c:v>
                </c:pt>
                <c:pt idx="144">
                  <c:v>0.78332220343172987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8-482B-968E-07421CAA47BA}"/>
            </c:ext>
          </c:extLst>
        </c:ser>
        <c:ser>
          <c:idx val="1"/>
          <c:order val="1"/>
          <c:tx>
            <c:v>Transmitted Power</c:v>
          </c:tx>
          <c:marker>
            <c:symbol val="none"/>
          </c:marker>
          <c:val>
            <c:numRef>
              <c:f>'DIAPASON COEFFICIENTS'!$C$3:$C$147</c:f>
              <c:numCache>
                <c:formatCode>General</c:formatCode>
                <c:ptCount val="145"/>
                <c:pt idx="0">
                  <c:v>0.21667779656826844</c:v>
                </c:pt>
                <c:pt idx="1">
                  <c:v>-0.16683743145534499</c:v>
                </c:pt>
                <c:pt idx="2">
                  <c:v>-0.64873723115191539</c:v>
                </c:pt>
                <c:pt idx="3">
                  <c:v>-1.1963448703021944</c:v>
                </c:pt>
                <c:pt idx="4">
                  <c:v>-1.7296978898361259</c:v>
                </c:pt>
                <c:pt idx="5">
                  <c:v>-2.128357429880027</c:v>
                </c:pt>
                <c:pt idx="6">
                  <c:v>-2.2756378726912412</c:v>
                </c:pt>
                <c:pt idx="7">
                  <c:v>-2.1227817777490388</c:v>
                </c:pt>
                <c:pt idx="8">
                  <c:v>-1.7203330001279218</c:v>
                </c:pt>
                <c:pt idx="9">
                  <c:v>-1.1856603872269036</c:v>
                </c:pt>
                <c:pt idx="10">
                  <c:v>-0.63872111810477239</c:v>
                </c:pt>
                <c:pt idx="11">
                  <c:v>-0.15853154187344054</c:v>
                </c:pt>
                <c:pt idx="12">
                  <c:v>0.22302533672839264</c:v>
                </c:pt>
                <c:pt idx="13">
                  <c:v>0.50623829214402527</c:v>
                </c:pt>
                <c:pt idx="14">
                  <c:v>0.70629002239823724</c:v>
                </c:pt>
                <c:pt idx="15">
                  <c:v>0.84170870894393113</c:v>
                </c:pt>
                <c:pt idx="16">
                  <c:v>0.9286966880560531</c:v>
                </c:pt>
                <c:pt idx="17">
                  <c:v>0.97902381396562455</c:v>
                </c:pt>
                <c:pt idx="18">
                  <c:v>0.99934662887331238</c:v>
                </c:pt>
                <c:pt idx="19">
                  <c:v>0.99040169684277468</c:v>
                </c:pt>
                <c:pt idx="20">
                  <c:v>0.94452926346347243</c:v>
                </c:pt>
                <c:pt idx="21">
                  <c:v>0.83853646242910007</c:v>
                </c:pt>
                <c:pt idx="22">
                  <c:v>0.61306891632767957</c:v>
                </c:pt>
                <c:pt idx="23">
                  <c:v>0.10559940088989267</c:v>
                </c:pt>
                <c:pt idx="24">
                  <c:v>-1.2214951520247241</c:v>
                </c:pt>
                <c:pt idx="25">
                  <c:v>-5.908699994779961</c:v>
                </c:pt>
                <c:pt idx="26">
                  <c:v>-41.5787378116108</c:v>
                </c:pt>
                <c:pt idx="27">
                  <c:v>-1220.9550048607432</c:v>
                </c:pt>
                <c:pt idx="28">
                  <c:v>-31.262075345979994</c:v>
                </c:pt>
                <c:pt idx="29">
                  <c:v>-10.381695785454815</c:v>
                </c:pt>
                <c:pt idx="30">
                  <c:v>-5.4111270599876278</c:v>
                </c:pt>
                <c:pt idx="31">
                  <c:v>-3.4199689198361063</c:v>
                </c:pt>
                <c:pt idx="32">
                  <c:v>-2.4077768901353496</c:v>
                </c:pt>
                <c:pt idx="33">
                  <c:v>-1.8185720458049783</c:v>
                </c:pt>
                <c:pt idx="34">
                  <c:v>-1.4451020877526606</c:v>
                </c:pt>
                <c:pt idx="35">
                  <c:v>-1.1948094657643169</c:v>
                </c:pt>
                <c:pt idx="36">
                  <c:v>-1.0209703617427117</c:v>
                </c:pt>
                <c:pt idx="37">
                  <c:v>-0.89785424482880183</c:v>
                </c:pt>
                <c:pt idx="38">
                  <c:v>-0.81039003188492587</c:v>
                </c:pt>
                <c:pt idx="39">
                  <c:v>-0.74939249830954813</c:v>
                </c:pt>
                <c:pt idx="40">
                  <c:v>-0.70918056481532821</c:v>
                </c:pt>
                <c:pt idx="41">
                  <c:v>-0.68632737604235361</c:v>
                </c:pt>
                <c:pt idx="42">
                  <c:v>-0.67899640729664468</c:v>
                </c:pt>
                <c:pt idx="43">
                  <c:v>-0.68661542571712186</c:v>
                </c:pt>
                <c:pt idx="44">
                  <c:v>-0.70977931555649443</c:v>
                </c:pt>
                <c:pt idx="45">
                  <c:v>-0.75035114320781171</c:v>
                </c:pt>
                <c:pt idx="46">
                  <c:v>-0.81179333091398431</c:v>
                </c:pt>
                <c:pt idx="47">
                  <c:v>-0.89983983135266843</c:v>
                </c:pt>
                <c:pt idx="48">
                  <c:v>-1.0237612248919903</c:v>
                </c:pt>
                <c:pt idx="49">
                  <c:v>-1.198776981378544</c:v>
                </c:pt>
                <c:pt idx="50">
                  <c:v>-1.4508962632355018</c:v>
                </c:pt>
                <c:pt idx="51">
                  <c:v>-1.8274153834482323</c:v>
                </c:pt>
                <c:pt idx="52">
                  <c:v>-2.4222103143791704</c:v>
                </c:pt>
                <c:pt idx="53">
                  <c:v>-3.4460770507195262</c:v>
                </c:pt>
                <c:pt idx="54">
                  <c:v>-5.4669344122487127</c:v>
                </c:pt>
                <c:pt idx="55">
                  <c:v>-10.543506545330356</c:v>
                </c:pt>
                <c:pt idx="56">
                  <c:v>-32.217005504456822</c:v>
                </c:pt>
                <c:pt idx="57">
                  <c:v>-1539.7497336368529</c:v>
                </c:pt>
                <c:pt idx="58">
                  <c:v>-39.501442368744762</c:v>
                </c:pt>
                <c:pt idx="59">
                  <c:v>-5.7343534647248893</c:v>
                </c:pt>
                <c:pt idx="60">
                  <c:v>-1.1799922411288155</c:v>
                </c:pt>
                <c:pt idx="61">
                  <c:v>0.12011673456370987</c:v>
                </c:pt>
                <c:pt idx="62">
                  <c:v>0.61922348946505601</c:v>
                </c:pt>
                <c:pt idx="63">
                  <c:v>0.84140446851694017</c:v>
                </c:pt>
                <c:pt idx="64">
                  <c:v>0.94586125432037516</c:v>
                </c:pt>
                <c:pt idx="65">
                  <c:v>0.99087762691256775</c:v>
                </c:pt>
                <c:pt idx="66">
                  <c:v>0.99922389925423527</c:v>
                </c:pt>
                <c:pt idx="67">
                  <c:v>0.97835469460575386</c:v>
                </c:pt>
                <c:pt idx="68">
                  <c:v>0.92740527008098594</c:v>
                </c:pt>
                <c:pt idx="69">
                  <c:v>0.8396161633114344</c:v>
                </c:pt>
                <c:pt idx="70">
                  <c:v>0.70312444774170091</c:v>
                </c:pt>
                <c:pt idx="71">
                  <c:v>0.50165592388980407</c:v>
                </c:pt>
                <c:pt idx="72">
                  <c:v>0.21667779656826999</c:v>
                </c:pt>
                <c:pt idx="73">
                  <c:v>-0.16683743145534499</c:v>
                </c:pt>
                <c:pt idx="74">
                  <c:v>-0.64873723115191539</c:v>
                </c:pt>
                <c:pt idx="75">
                  <c:v>-1.1963448703021944</c:v>
                </c:pt>
                <c:pt idx="76">
                  <c:v>-1.7296978898361259</c:v>
                </c:pt>
                <c:pt idx="77">
                  <c:v>-2.128357429880027</c:v>
                </c:pt>
                <c:pt idx="78">
                  <c:v>-2.2756378726912412</c:v>
                </c:pt>
                <c:pt idx="79">
                  <c:v>-2.1227817777490388</c:v>
                </c:pt>
                <c:pt idx="80">
                  <c:v>-1.7203330001279218</c:v>
                </c:pt>
                <c:pt idx="81">
                  <c:v>-1.1856603872269036</c:v>
                </c:pt>
                <c:pt idx="82">
                  <c:v>-0.63872111810477239</c:v>
                </c:pt>
                <c:pt idx="83">
                  <c:v>-0.15853154187344054</c:v>
                </c:pt>
                <c:pt idx="84">
                  <c:v>0.22302533672839264</c:v>
                </c:pt>
                <c:pt idx="85">
                  <c:v>0.50623829214402527</c:v>
                </c:pt>
                <c:pt idx="86">
                  <c:v>0.70629002239823724</c:v>
                </c:pt>
                <c:pt idx="87">
                  <c:v>0.84170870894393113</c:v>
                </c:pt>
                <c:pt idx="88">
                  <c:v>0.9286966880560531</c:v>
                </c:pt>
                <c:pt idx="89">
                  <c:v>0.97902381396562455</c:v>
                </c:pt>
                <c:pt idx="90">
                  <c:v>0.99934662887331238</c:v>
                </c:pt>
                <c:pt idx="91">
                  <c:v>0.99040169684277468</c:v>
                </c:pt>
                <c:pt idx="92">
                  <c:v>0.94452926346347243</c:v>
                </c:pt>
                <c:pt idx="93">
                  <c:v>0.83853646242910007</c:v>
                </c:pt>
                <c:pt idx="94">
                  <c:v>0.61306891632767957</c:v>
                </c:pt>
                <c:pt idx="95">
                  <c:v>0.10559940088989267</c:v>
                </c:pt>
                <c:pt idx="96">
                  <c:v>-1.2214951520247241</c:v>
                </c:pt>
                <c:pt idx="97">
                  <c:v>-5.908699994779961</c:v>
                </c:pt>
                <c:pt idx="98">
                  <c:v>-41.5787378116108</c:v>
                </c:pt>
                <c:pt idx="99">
                  <c:v>-1220.9550048607432</c:v>
                </c:pt>
                <c:pt idx="100">
                  <c:v>-31.262075345979994</c:v>
                </c:pt>
                <c:pt idx="101">
                  <c:v>-10.381695785454815</c:v>
                </c:pt>
                <c:pt idx="102">
                  <c:v>-5.4111270599876278</c:v>
                </c:pt>
                <c:pt idx="103">
                  <c:v>-3.4199689198361063</c:v>
                </c:pt>
                <c:pt idx="104">
                  <c:v>-2.4077768901353496</c:v>
                </c:pt>
                <c:pt idx="105">
                  <c:v>-1.8185720458049783</c:v>
                </c:pt>
                <c:pt idx="106">
                  <c:v>-1.4451020877526606</c:v>
                </c:pt>
                <c:pt idx="107">
                  <c:v>-1.1948094657643169</c:v>
                </c:pt>
                <c:pt idx="108">
                  <c:v>-1.0209703617427117</c:v>
                </c:pt>
                <c:pt idx="109">
                  <c:v>-0.89785424482880183</c:v>
                </c:pt>
                <c:pt idx="110">
                  <c:v>-0.81039003188492587</c:v>
                </c:pt>
                <c:pt idx="111">
                  <c:v>-0.74939249830954813</c:v>
                </c:pt>
                <c:pt idx="112">
                  <c:v>-0.70918056481532821</c:v>
                </c:pt>
                <c:pt idx="113">
                  <c:v>-0.68632737604235361</c:v>
                </c:pt>
                <c:pt idx="114">
                  <c:v>-0.67899640729664468</c:v>
                </c:pt>
                <c:pt idx="115">
                  <c:v>-0.68661542571712186</c:v>
                </c:pt>
                <c:pt idx="116">
                  <c:v>-0.70977931555649443</c:v>
                </c:pt>
                <c:pt idx="117">
                  <c:v>-0.75035114320781171</c:v>
                </c:pt>
                <c:pt idx="118">
                  <c:v>-0.81179333091398431</c:v>
                </c:pt>
                <c:pt idx="119">
                  <c:v>-0.89983983135266843</c:v>
                </c:pt>
                <c:pt idx="120">
                  <c:v>-1.0237612248919903</c:v>
                </c:pt>
                <c:pt idx="121">
                  <c:v>-1.198776981378544</c:v>
                </c:pt>
                <c:pt idx="122">
                  <c:v>-1.4508962632355018</c:v>
                </c:pt>
                <c:pt idx="123">
                  <c:v>-1.8274153834482323</c:v>
                </c:pt>
                <c:pt idx="124">
                  <c:v>-2.4222103143791704</c:v>
                </c:pt>
                <c:pt idx="125">
                  <c:v>-3.4460770507195262</c:v>
                </c:pt>
                <c:pt idx="126">
                  <c:v>-5.4669344122487127</c:v>
                </c:pt>
                <c:pt idx="127">
                  <c:v>-10.543506545330356</c:v>
                </c:pt>
                <c:pt idx="128">
                  <c:v>-32.217005504456822</c:v>
                </c:pt>
                <c:pt idx="129">
                  <c:v>-1539.7497336368529</c:v>
                </c:pt>
                <c:pt idx="130">
                  <c:v>-39.501442368744762</c:v>
                </c:pt>
                <c:pt idx="131">
                  <c:v>-5.7343534647248893</c:v>
                </c:pt>
                <c:pt idx="132">
                  <c:v>-1.1799922411288155</c:v>
                </c:pt>
                <c:pt idx="133">
                  <c:v>0.12011673456370987</c:v>
                </c:pt>
                <c:pt idx="134">
                  <c:v>0.61922348946505601</c:v>
                </c:pt>
                <c:pt idx="135">
                  <c:v>0.84140446851694017</c:v>
                </c:pt>
                <c:pt idx="136">
                  <c:v>0.94586125432037516</c:v>
                </c:pt>
                <c:pt idx="137">
                  <c:v>0.99087762691256775</c:v>
                </c:pt>
                <c:pt idx="138">
                  <c:v>0.99922389925423527</c:v>
                </c:pt>
                <c:pt idx="139">
                  <c:v>0.97835469460575386</c:v>
                </c:pt>
                <c:pt idx="140">
                  <c:v>0.92740527008098594</c:v>
                </c:pt>
                <c:pt idx="141">
                  <c:v>0.8396161633114344</c:v>
                </c:pt>
                <c:pt idx="142">
                  <c:v>0.70312444774170091</c:v>
                </c:pt>
                <c:pt idx="143">
                  <c:v>0.50165592388980407</c:v>
                </c:pt>
                <c:pt idx="144">
                  <c:v>0.21667779656826999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8-482B-968E-07421CAA47BA}"/>
            </c:ext>
          </c:extLst>
        </c:ser>
        <c:ser>
          <c:idx val="2"/>
          <c:order val="2"/>
          <c:tx>
            <c:v>Reflected Flow</c:v>
          </c:tx>
          <c:marker>
            <c:symbol val="none"/>
          </c:marker>
          <c:val>
            <c:numRef>
              <c:f>'DIAPASON COEFFICIENTS'!$D$3:$D$147</c:f>
              <c:numCache>
                <c:formatCode>General</c:formatCode>
                <c:ptCount val="145"/>
                <c:pt idx="0">
                  <c:v>-0.88505491548927717</c:v>
                </c:pt>
                <c:pt idx="1">
                  <c:v>-1.0802024955791136</c:v>
                </c:pt>
                <c:pt idx="2">
                  <c:v>-1.2840316316788756</c:v>
                </c:pt>
                <c:pt idx="3">
                  <c:v>-1.4820070412458217</c:v>
                </c:pt>
                <c:pt idx="4">
                  <c:v>-1.6521797389618738</c:v>
                </c:pt>
                <c:pt idx="5">
                  <c:v>-1.7687163226136708</c:v>
                </c:pt>
                <c:pt idx="6">
                  <c:v>-1.8098723360202069</c:v>
                </c:pt>
                <c:pt idx="7">
                  <c:v>-1.7671394335900716</c:v>
                </c:pt>
                <c:pt idx="8">
                  <c:v>-1.6493432026500492</c:v>
                </c:pt>
                <c:pt idx="9">
                  <c:v>-1.4783979123452871</c:v>
                </c:pt>
                <c:pt idx="10">
                  <c:v>-1.2801254306140366</c:v>
                </c:pt>
                <c:pt idx="11">
                  <c:v>-1.0763510309715139</c:v>
                </c:pt>
                <c:pt idx="12">
                  <c:v>-0.88146166296192774</c:v>
                </c:pt>
                <c:pt idx="13">
                  <c:v>-0.70268179701481848</c:v>
                </c:pt>
                <c:pt idx="14">
                  <c:v>-0.54195016154787012</c:v>
                </c:pt>
                <c:pt idx="15">
                  <c:v>-0.39785838065330337</c:v>
                </c:pt>
                <c:pt idx="16">
                  <c:v>-0.26702680004813545</c:v>
                </c:pt>
                <c:pt idx="17">
                  <c:v>-0.14483157816710931</c:v>
                </c:pt>
                <c:pt idx="18">
                  <c:v>-2.5561125301669596E-2</c:v>
                </c:pt>
                <c:pt idx="19">
                  <c:v>9.7970930164133718E-2</c:v>
                </c:pt>
                <c:pt idx="20">
                  <c:v>0.23552226335641316</c:v>
                </c:pt>
                <c:pt idx="21">
                  <c:v>0.40182525750741449</c:v>
                </c:pt>
                <c:pt idx="22">
                  <c:v>0.62203784745971891</c:v>
                </c:pt>
                <c:pt idx="23">
                  <c:v>0.94572755014861842</c:v>
                </c:pt>
                <c:pt idx="24">
                  <c:v>1.4904680982915148</c:v>
                </c:pt>
                <c:pt idx="25">
                  <c:v>2.6284406013414037</c:v>
                </c:pt>
                <c:pt idx="26">
                  <c:v>6.5252385252656326</c:v>
                </c:pt>
                <c:pt idx="27">
                  <c:v>-34.956473003733414</c:v>
                </c:pt>
                <c:pt idx="28">
                  <c:v>-5.6799714212291592</c:v>
                </c:pt>
                <c:pt idx="29">
                  <c:v>-3.3736768940511799</c:v>
                </c:pt>
                <c:pt idx="30">
                  <c:v>-2.5320203514165573</c:v>
                </c:pt>
                <c:pt idx="31">
                  <c:v>-2.1023722124866722</c:v>
                </c:pt>
                <c:pt idx="32">
                  <c:v>-1.8460164923790223</c:v>
                </c:pt>
                <c:pt idx="33">
                  <c:v>-1.6788603413640393</c:v>
                </c:pt>
                <c:pt idx="34">
                  <c:v>-1.563682220834099</c:v>
                </c:pt>
                <c:pt idx="35">
                  <c:v>-1.4814889354174461</c:v>
                </c:pt>
                <c:pt idx="36">
                  <c:v>-1.4216083714380385</c:v>
                </c:pt>
                <c:pt idx="37">
                  <c:v>-1.3776263081216189</c:v>
                </c:pt>
                <c:pt idx="38">
                  <c:v>-1.3455073511077245</c:v>
                </c:pt>
                <c:pt idx="39">
                  <c:v>-1.3226460215452764</c:v>
                </c:pt>
                <c:pt idx="40">
                  <c:v>-1.3073563266437074</c:v>
                </c:pt>
                <c:pt idx="41">
                  <c:v>-1.2985866840693976</c:v>
                </c:pt>
                <c:pt idx="42">
                  <c:v>-1.2957609375562471</c:v>
                </c:pt>
                <c:pt idx="43">
                  <c:v>-1.2986975882464409</c:v>
                </c:pt>
                <c:pt idx="44">
                  <c:v>-1.3075852995336459</c:v>
                </c:pt>
                <c:pt idx="45">
                  <c:v>-1.3230083685327962</c:v>
                </c:pt>
                <c:pt idx="46">
                  <c:v>-1.3460287258873729</c:v>
                </c:pt>
                <c:pt idx="47">
                  <c:v>-1.3783467747097129</c:v>
                </c:pt>
                <c:pt idx="48">
                  <c:v>-1.4225896192830843</c:v>
                </c:pt>
                <c:pt idx="49">
                  <c:v>-1.4828273606116606</c:v>
                </c:pt>
                <c:pt idx="50">
                  <c:v>-1.5655338588594949</c:v>
                </c:pt>
                <c:pt idx="51">
                  <c:v>-1.6814920111163871</c:v>
                </c:pt>
                <c:pt idx="52">
                  <c:v>-1.8499217049321766</c:v>
                </c:pt>
                <c:pt idx="53">
                  <c:v>-2.108572277803046</c:v>
                </c:pt>
                <c:pt idx="54">
                  <c:v>-2.5430167935443748</c:v>
                </c:pt>
                <c:pt idx="55">
                  <c:v>-3.3975736261824196</c:v>
                </c:pt>
                <c:pt idx="56">
                  <c:v>-5.7634196016303392</c:v>
                </c:pt>
                <c:pt idx="57">
                  <c:v>-39.252385069405058</c:v>
                </c:pt>
                <c:pt idx="58">
                  <c:v>6.3640743528611265</c:v>
                </c:pt>
                <c:pt idx="59">
                  <c:v>2.5950632872292134</c:v>
                </c:pt>
                <c:pt idx="60">
                  <c:v>1.4764796785356769</c:v>
                </c:pt>
                <c:pt idx="61">
                  <c:v>0.93802093016962573</c:v>
                </c:pt>
                <c:pt idx="62">
                  <c:v>0.61707091207975751</c:v>
                </c:pt>
                <c:pt idx="63">
                  <c:v>0.39824054475035509</c:v>
                </c:pt>
                <c:pt idx="64">
                  <c:v>0.23267734242857574</c:v>
                </c:pt>
                <c:pt idx="65">
                  <c:v>9.551111499418477E-2</c:v>
                </c:pt>
                <c:pt idx="66">
                  <c:v>-2.785858477677439E-2</c:v>
                </c:pt>
                <c:pt idx="67">
                  <c:v>-0.14712343591096</c:v>
                </c:pt>
                <c:pt idx="68">
                  <c:v>-0.26943409197615287</c:v>
                </c:pt>
                <c:pt idx="69">
                  <c:v>-0.40047950845026459</c:v>
                </c:pt>
                <c:pt idx="70">
                  <c:v>-0.54486287472932038</c:v>
                </c:pt>
                <c:pt idx="71">
                  <c:v>-0.70593489509316376</c:v>
                </c:pt>
                <c:pt idx="72">
                  <c:v>-0.88505491548927617</c:v>
                </c:pt>
                <c:pt idx="73">
                  <c:v>-1.0802024955791136</c:v>
                </c:pt>
                <c:pt idx="74">
                  <c:v>-1.2840316316788756</c:v>
                </c:pt>
                <c:pt idx="75">
                  <c:v>-1.4820070412458217</c:v>
                </c:pt>
                <c:pt idx="76">
                  <c:v>-1.6521797389618738</c:v>
                </c:pt>
                <c:pt idx="77">
                  <c:v>-1.7687163226136708</c:v>
                </c:pt>
                <c:pt idx="78">
                  <c:v>-1.8098723360202069</c:v>
                </c:pt>
                <c:pt idx="79">
                  <c:v>-1.7671394335900716</c:v>
                </c:pt>
                <c:pt idx="80">
                  <c:v>-1.6493432026500492</c:v>
                </c:pt>
                <c:pt idx="81">
                  <c:v>-1.4783979123452871</c:v>
                </c:pt>
                <c:pt idx="82">
                  <c:v>-1.2801254306140366</c:v>
                </c:pt>
                <c:pt idx="83">
                  <c:v>-1.0763510309715139</c:v>
                </c:pt>
                <c:pt idx="84">
                  <c:v>-0.88146166296192774</c:v>
                </c:pt>
                <c:pt idx="85">
                  <c:v>-0.70268179701481848</c:v>
                </c:pt>
                <c:pt idx="86">
                  <c:v>-0.54195016154787012</c:v>
                </c:pt>
                <c:pt idx="87">
                  <c:v>-0.39785838065330337</c:v>
                </c:pt>
                <c:pt idx="88">
                  <c:v>-0.26702680004813545</c:v>
                </c:pt>
                <c:pt idx="89">
                  <c:v>-0.14483157816710931</c:v>
                </c:pt>
                <c:pt idx="90">
                  <c:v>-2.5561125301669596E-2</c:v>
                </c:pt>
                <c:pt idx="91">
                  <c:v>9.7970930164133718E-2</c:v>
                </c:pt>
                <c:pt idx="92">
                  <c:v>0.23552226335641316</c:v>
                </c:pt>
                <c:pt idx="93">
                  <c:v>0.40182525750741449</c:v>
                </c:pt>
                <c:pt idx="94">
                  <c:v>0.62203784745971891</c:v>
                </c:pt>
                <c:pt idx="95">
                  <c:v>0.94572755014861842</c:v>
                </c:pt>
                <c:pt idx="96">
                  <c:v>1.4904680982915148</c:v>
                </c:pt>
                <c:pt idx="97">
                  <c:v>2.6284406013414037</c:v>
                </c:pt>
                <c:pt idx="98">
                  <c:v>6.5252385252656326</c:v>
                </c:pt>
                <c:pt idx="99">
                  <c:v>-34.956473003733414</c:v>
                </c:pt>
                <c:pt idx="100">
                  <c:v>-5.6799714212291592</c:v>
                </c:pt>
                <c:pt idx="101">
                  <c:v>-3.3736768940511799</c:v>
                </c:pt>
                <c:pt idx="102">
                  <c:v>-2.5320203514165573</c:v>
                </c:pt>
                <c:pt idx="103">
                  <c:v>-2.1023722124866722</c:v>
                </c:pt>
                <c:pt idx="104">
                  <c:v>-1.8460164923790223</c:v>
                </c:pt>
                <c:pt idx="105">
                  <c:v>-1.6788603413640393</c:v>
                </c:pt>
                <c:pt idx="106">
                  <c:v>-1.563682220834099</c:v>
                </c:pt>
                <c:pt idx="107">
                  <c:v>-1.4814889354174461</c:v>
                </c:pt>
                <c:pt idx="108">
                  <c:v>-1.4216083714380385</c:v>
                </c:pt>
                <c:pt idx="109">
                  <c:v>-1.3776263081216189</c:v>
                </c:pt>
                <c:pt idx="110">
                  <c:v>-1.3455073511077245</c:v>
                </c:pt>
                <c:pt idx="111">
                  <c:v>-1.3226460215452764</c:v>
                </c:pt>
                <c:pt idx="112">
                  <c:v>-1.3073563266437074</c:v>
                </c:pt>
                <c:pt idx="113">
                  <c:v>-1.2985866840693976</c:v>
                </c:pt>
                <c:pt idx="114">
                  <c:v>-1.2957609375562471</c:v>
                </c:pt>
                <c:pt idx="115">
                  <c:v>-1.2986975882464409</c:v>
                </c:pt>
                <c:pt idx="116">
                  <c:v>-1.3075852995336459</c:v>
                </c:pt>
                <c:pt idx="117">
                  <c:v>-1.3230083685327962</c:v>
                </c:pt>
                <c:pt idx="118">
                  <c:v>-1.3460287258873729</c:v>
                </c:pt>
                <c:pt idx="119">
                  <c:v>-1.3783467747097129</c:v>
                </c:pt>
                <c:pt idx="120">
                  <c:v>-1.4225896192830843</c:v>
                </c:pt>
                <c:pt idx="121">
                  <c:v>-1.4828273606116606</c:v>
                </c:pt>
                <c:pt idx="122">
                  <c:v>-1.5655338588594949</c:v>
                </c:pt>
                <c:pt idx="123">
                  <c:v>-1.6814920111163871</c:v>
                </c:pt>
                <c:pt idx="124">
                  <c:v>-1.8499217049321766</c:v>
                </c:pt>
                <c:pt idx="125">
                  <c:v>-2.108572277803046</c:v>
                </c:pt>
                <c:pt idx="126">
                  <c:v>-2.5430167935443748</c:v>
                </c:pt>
                <c:pt idx="127">
                  <c:v>-3.3975736261824196</c:v>
                </c:pt>
                <c:pt idx="128">
                  <c:v>-5.7634196016303392</c:v>
                </c:pt>
                <c:pt idx="129">
                  <c:v>-39.252385069405058</c:v>
                </c:pt>
                <c:pt idx="130">
                  <c:v>6.3640743528611265</c:v>
                </c:pt>
                <c:pt idx="131">
                  <c:v>2.5950632872292134</c:v>
                </c:pt>
                <c:pt idx="132">
                  <c:v>1.4764796785356769</c:v>
                </c:pt>
                <c:pt idx="133">
                  <c:v>0.93802093016962573</c:v>
                </c:pt>
                <c:pt idx="134">
                  <c:v>0.61707091207975751</c:v>
                </c:pt>
                <c:pt idx="135">
                  <c:v>0.39824054475035509</c:v>
                </c:pt>
                <c:pt idx="136">
                  <c:v>0.23267734242857574</c:v>
                </c:pt>
                <c:pt idx="137">
                  <c:v>9.551111499418477E-2</c:v>
                </c:pt>
                <c:pt idx="138">
                  <c:v>-2.785858477677439E-2</c:v>
                </c:pt>
                <c:pt idx="139">
                  <c:v>-0.14712343591096</c:v>
                </c:pt>
                <c:pt idx="140">
                  <c:v>-0.26943409197615287</c:v>
                </c:pt>
                <c:pt idx="141">
                  <c:v>-0.40047950845026459</c:v>
                </c:pt>
                <c:pt idx="142">
                  <c:v>-0.54486287472932038</c:v>
                </c:pt>
                <c:pt idx="143">
                  <c:v>-0.70593489509316376</c:v>
                </c:pt>
                <c:pt idx="144">
                  <c:v>-0.88505491548927617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8-482B-968E-07421CAA47BA}"/>
            </c:ext>
          </c:extLst>
        </c:ser>
        <c:ser>
          <c:idx val="3"/>
          <c:order val="3"/>
          <c:tx>
            <c:v>Transmitted Flow</c:v>
          </c:tx>
          <c:marker>
            <c:symbol val="none"/>
          </c:marker>
          <c:val>
            <c:numRef>
              <c:f>'DIAPASON COEFFICIENTS'!$E$3:$E$147</c:f>
              <c:numCache>
                <c:formatCode>General</c:formatCode>
                <c:ptCount val="145"/>
                <c:pt idx="0">
                  <c:v>1.8850549154892771</c:v>
                </c:pt>
                <c:pt idx="1">
                  <c:v>2.0802024955791136</c:v>
                </c:pt>
                <c:pt idx="2">
                  <c:v>2.2840316316788756</c:v>
                </c:pt>
                <c:pt idx="3">
                  <c:v>2.4820070412458217</c:v>
                </c:pt>
                <c:pt idx="4">
                  <c:v>2.6521797389618738</c:v>
                </c:pt>
                <c:pt idx="5">
                  <c:v>2.7687163226136708</c:v>
                </c:pt>
                <c:pt idx="6">
                  <c:v>2.8098723360202071</c:v>
                </c:pt>
                <c:pt idx="7">
                  <c:v>2.7671394335900716</c:v>
                </c:pt>
                <c:pt idx="8">
                  <c:v>2.6493432026500492</c:v>
                </c:pt>
                <c:pt idx="9">
                  <c:v>2.4783979123452871</c:v>
                </c:pt>
                <c:pt idx="10">
                  <c:v>2.2801254306140364</c:v>
                </c:pt>
                <c:pt idx="11">
                  <c:v>2.0763510309715136</c:v>
                </c:pt>
                <c:pt idx="12">
                  <c:v>1.8814616629619278</c:v>
                </c:pt>
                <c:pt idx="13">
                  <c:v>1.7026817970148185</c:v>
                </c:pt>
                <c:pt idx="14">
                  <c:v>1.5419501615478701</c:v>
                </c:pt>
                <c:pt idx="15">
                  <c:v>1.3978583806533034</c:v>
                </c:pt>
                <c:pt idx="16">
                  <c:v>1.2670268000481355</c:v>
                </c:pt>
                <c:pt idx="17">
                  <c:v>1.1448315781671092</c:v>
                </c:pt>
                <c:pt idx="18">
                  <c:v>1.0255611253016697</c:v>
                </c:pt>
                <c:pt idx="19">
                  <c:v>0.90202906983586639</c:v>
                </c:pt>
                <c:pt idx="20">
                  <c:v>0.76447773664358687</c:v>
                </c:pt>
                <c:pt idx="21">
                  <c:v>0.59817474249258551</c:v>
                </c:pt>
                <c:pt idx="22">
                  <c:v>0.37796215254028109</c:v>
                </c:pt>
                <c:pt idx="23">
                  <c:v>5.4272449851381709E-2</c:v>
                </c:pt>
                <c:pt idx="24">
                  <c:v>-0.49046809829151461</c:v>
                </c:pt>
                <c:pt idx="25">
                  <c:v>-1.6284406013414037</c:v>
                </c:pt>
                <c:pt idx="26">
                  <c:v>-5.5252385252656326</c:v>
                </c:pt>
                <c:pt idx="27">
                  <c:v>35.956473003733414</c:v>
                </c:pt>
                <c:pt idx="28">
                  <c:v>6.6799714212291592</c:v>
                </c:pt>
                <c:pt idx="29">
                  <c:v>4.3736768940511794</c:v>
                </c:pt>
                <c:pt idx="30">
                  <c:v>3.5320203514165573</c:v>
                </c:pt>
                <c:pt idx="31">
                  <c:v>3.1023722124866722</c:v>
                </c:pt>
                <c:pt idx="32">
                  <c:v>2.8460164923790225</c:v>
                </c:pt>
                <c:pt idx="33">
                  <c:v>2.6788603413640391</c:v>
                </c:pt>
                <c:pt idx="34">
                  <c:v>2.563682220834099</c:v>
                </c:pt>
                <c:pt idx="35">
                  <c:v>2.4814889354174459</c:v>
                </c:pt>
                <c:pt idx="36">
                  <c:v>2.4216083714380385</c:v>
                </c:pt>
                <c:pt idx="37">
                  <c:v>2.3776263081216191</c:v>
                </c:pt>
                <c:pt idx="38">
                  <c:v>2.3455073511077247</c:v>
                </c:pt>
                <c:pt idx="39">
                  <c:v>2.3226460215452764</c:v>
                </c:pt>
                <c:pt idx="40">
                  <c:v>2.3073563266437076</c:v>
                </c:pt>
                <c:pt idx="41">
                  <c:v>2.2985866840693978</c:v>
                </c:pt>
                <c:pt idx="42">
                  <c:v>2.2957609375562469</c:v>
                </c:pt>
                <c:pt idx="43">
                  <c:v>2.2986975882464407</c:v>
                </c:pt>
                <c:pt idx="44">
                  <c:v>2.3075852995336459</c:v>
                </c:pt>
                <c:pt idx="45">
                  <c:v>2.3230083685327965</c:v>
                </c:pt>
                <c:pt idx="46">
                  <c:v>2.3460287258873729</c:v>
                </c:pt>
                <c:pt idx="47">
                  <c:v>2.3783467747097129</c:v>
                </c:pt>
                <c:pt idx="48">
                  <c:v>2.4225896192830843</c:v>
                </c:pt>
                <c:pt idx="49">
                  <c:v>2.4828273606116609</c:v>
                </c:pt>
                <c:pt idx="50">
                  <c:v>2.5655338588594949</c:v>
                </c:pt>
                <c:pt idx="51">
                  <c:v>2.6814920111163874</c:v>
                </c:pt>
                <c:pt idx="52">
                  <c:v>2.8499217049321763</c:v>
                </c:pt>
                <c:pt idx="53">
                  <c:v>3.108572277803046</c:v>
                </c:pt>
                <c:pt idx="54">
                  <c:v>3.5430167935443744</c:v>
                </c:pt>
                <c:pt idx="55">
                  <c:v>4.3975736261824192</c:v>
                </c:pt>
                <c:pt idx="56">
                  <c:v>6.7634196016303392</c:v>
                </c:pt>
                <c:pt idx="57">
                  <c:v>40.252385069405058</c:v>
                </c:pt>
                <c:pt idx="58">
                  <c:v>-5.3640743528611265</c:v>
                </c:pt>
                <c:pt idx="59">
                  <c:v>-1.5950632872292132</c:v>
                </c:pt>
                <c:pt idx="60">
                  <c:v>-0.47647967853567674</c:v>
                </c:pt>
                <c:pt idx="61">
                  <c:v>6.1979069830374128E-2</c:v>
                </c:pt>
                <c:pt idx="62">
                  <c:v>0.38292908792024238</c:v>
                </c:pt>
                <c:pt idx="63">
                  <c:v>0.60175945524964491</c:v>
                </c:pt>
                <c:pt idx="64">
                  <c:v>0.76732265757142426</c:v>
                </c:pt>
                <c:pt idx="65">
                  <c:v>0.90448888500581526</c:v>
                </c:pt>
                <c:pt idx="66">
                  <c:v>1.0278585847767743</c:v>
                </c:pt>
                <c:pt idx="67">
                  <c:v>1.1471234359109601</c:v>
                </c:pt>
                <c:pt idx="68">
                  <c:v>1.2694340919761529</c:v>
                </c:pt>
                <c:pt idx="69">
                  <c:v>1.4004795084502646</c:v>
                </c:pt>
                <c:pt idx="70">
                  <c:v>1.5448628747293203</c:v>
                </c:pt>
                <c:pt idx="71">
                  <c:v>1.7059348950931637</c:v>
                </c:pt>
                <c:pt idx="72">
                  <c:v>1.8850549154892762</c:v>
                </c:pt>
                <c:pt idx="73">
                  <c:v>2.0802024955791136</c:v>
                </c:pt>
                <c:pt idx="74">
                  <c:v>2.2840316316788756</c:v>
                </c:pt>
                <c:pt idx="75">
                  <c:v>2.4820070412458217</c:v>
                </c:pt>
                <c:pt idx="76">
                  <c:v>2.6521797389618738</c:v>
                </c:pt>
                <c:pt idx="77">
                  <c:v>2.7687163226136708</c:v>
                </c:pt>
                <c:pt idx="78">
                  <c:v>2.8098723360202071</c:v>
                </c:pt>
                <c:pt idx="79">
                  <c:v>2.7671394335900716</c:v>
                </c:pt>
                <c:pt idx="80">
                  <c:v>2.6493432026500492</c:v>
                </c:pt>
                <c:pt idx="81">
                  <c:v>2.4783979123452871</c:v>
                </c:pt>
                <c:pt idx="82">
                  <c:v>2.2801254306140364</c:v>
                </c:pt>
                <c:pt idx="83">
                  <c:v>2.0763510309715136</c:v>
                </c:pt>
                <c:pt idx="84">
                  <c:v>1.8814616629619278</c:v>
                </c:pt>
                <c:pt idx="85">
                  <c:v>1.7026817970148185</c:v>
                </c:pt>
                <c:pt idx="86">
                  <c:v>1.5419501615478701</c:v>
                </c:pt>
                <c:pt idx="87">
                  <c:v>1.3978583806533034</c:v>
                </c:pt>
                <c:pt idx="88">
                  <c:v>1.2670268000481355</c:v>
                </c:pt>
                <c:pt idx="89">
                  <c:v>1.1448315781671092</c:v>
                </c:pt>
                <c:pt idx="90">
                  <c:v>1.0255611253016697</c:v>
                </c:pt>
                <c:pt idx="91">
                  <c:v>0.90202906983586639</c:v>
                </c:pt>
                <c:pt idx="92">
                  <c:v>0.76447773664358687</c:v>
                </c:pt>
                <c:pt idx="93">
                  <c:v>0.59817474249258551</c:v>
                </c:pt>
                <c:pt idx="94">
                  <c:v>0.37796215254028109</c:v>
                </c:pt>
                <c:pt idx="95">
                  <c:v>5.4272449851381709E-2</c:v>
                </c:pt>
                <c:pt idx="96">
                  <c:v>-0.49046809829151461</c:v>
                </c:pt>
                <c:pt idx="97">
                  <c:v>-1.6284406013414037</c:v>
                </c:pt>
                <c:pt idx="98">
                  <c:v>-5.5252385252656326</c:v>
                </c:pt>
                <c:pt idx="99">
                  <c:v>35.956473003733414</c:v>
                </c:pt>
                <c:pt idx="100">
                  <c:v>6.6799714212291592</c:v>
                </c:pt>
                <c:pt idx="101">
                  <c:v>4.3736768940511794</c:v>
                </c:pt>
                <c:pt idx="102">
                  <c:v>3.5320203514165573</c:v>
                </c:pt>
                <c:pt idx="103">
                  <c:v>3.1023722124866722</c:v>
                </c:pt>
                <c:pt idx="104">
                  <c:v>2.8460164923790225</c:v>
                </c:pt>
                <c:pt idx="105">
                  <c:v>2.6788603413640391</c:v>
                </c:pt>
                <c:pt idx="106">
                  <c:v>2.563682220834099</c:v>
                </c:pt>
                <c:pt idx="107">
                  <c:v>2.4814889354174459</c:v>
                </c:pt>
                <c:pt idx="108">
                  <c:v>2.4216083714380385</c:v>
                </c:pt>
                <c:pt idx="109">
                  <c:v>2.3776263081216191</c:v>
                </c:pt>
                <c:pt idx="110">
                  <c:v>2.3455073511077247</c:v>
                </c:pt>
                <c:pt idx="111">
                  <c:v>2.3226460215452764</c:v>
                </c:pt>
                <c:pt idx="112">
                  <c:v>2.3073563266437076</c:v>
                </c:pt>
                <c:pt idx="113">
                  <c:v>2.2985866840693978</c:v>
                </c:pt>
                <c:pt idx="114">
                  <c:v>2.2957609375562469</c:v>
                </c:pt>
                <c:pt idx="115">
                  <c:v>2.2986975882464407</c:v>
                </c:pt>
                <c:pt idx="116">
                  <c:v>2.3075852995336459</c:v>
                </c:pt>
                <c:pt idx="117">
                  <c:v>2.3230083685327965</c:v>
                </c:pt>
                <c:pt idx="118">
                  <c:v>2.3460287258873729</c:v>
                </c:pt>
                <c:pt idx="119">
                  <c:v>2.3783467747097129</c:v>
                </c:pt>
                <c:pt idx="120">
                  <c:v>2.4225896192830843</c:v>
                </c:pt>
                <c:pt idx="121">
                  <c:v>2.4828273606116609</c:v>
                </c:pt>
                <c:pt idx="122">
                  <c:v>2.5655338588594949</c:v>
                </c:pt>
                <c:pt idx="123">
                  <c:v>2.6814920111163874</c:v>
                </c:pt>
                <c:pt idx="124">
                  <c:v>2.8499217049321763</c:v>
                </c:pt>
                <c:pt idx="125">
                  <c:v>3.108572277803046</c:v>
                </c:pt>
                <c:pt idx="126">
                  <c:v>3.5430167935443744</c:v>
                </c:pt>
                <c:pt idx="127">
                  <c:v>4.3975736261824192</c:v>
                </c:pt>
                <c:pt idx="128">
                  <c:v>6.7634196016303392</c:v>
                </c:pt>
                <c:pt idx="129">
                  <c:v>40.252385069405058</c:v>
                </c:pt>
                <c:pt idx="130">
                  <c:v>-5.3640743528611265</c:v>
                </c:pt>
                <c:pt idx="131">
                  <c:v>-1.5950632872292132</c:v>
                </c:pt>
                <c:pt idx="132">
                  <c:v>-0.47647967853567674</c:v>
                </c:pt>
                <c:pt idx="133">
                  <c:v>6.1979069830374128E-2</c:v>
                </c:pt>
                <c:pt idx="134">
                  <c:v>0.38292908792024238</c:v>
                </c:pt>
                <c:pt idx="135">
                  <c:v>0.60175945524964491</c:v>
                </c:pt>
                <c:pt idx="136">
                  <c:v>0.76732265757142426</c:v>
                </c:pt>
                <c:pt idx="137">
                  <c:v>0.90448888500581526</c:v>
                </c:pt>
                <c:pt idx="138">
                  <c:v>1.0278585847767743</c:v>
                </c:pt>
                <c:pt idx="139">
                  <c:v>1.1471234359109601</c:v>
                </c:pt>
                <c:pt idx="140">
                  <c:v>1.2694340919761529</c:v>
                </c:pt>
                <c:pt idx="141">
                  <c:v>1.4004795084502646</c:v>
                </c:pt>
                <c:pt idx="142">
                  <c:v>1.5448628747293203</c:v>
                </c:pt>
                <c:pt idx="143">
                  <c:v>1.7059348950931637</c:v>
                </c:pt>
                <c:pt idx="144">
                  <c:v>1.8850549154892762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78-482B-968E-07421CAA4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88544"/>
        <c:axId val="80190080"/>
      </c:lineChart>
      <c:catAx>
        <c:axId val="8018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190080"/>
        <c:crosses val="autoZero"/>
        <c:auto val="1"/>
        <c:lblAlgn val="ctr"/>
        <c:lblOffset val="100"/>
        <c:noMultiLvlLbl val="0"/>
      </c:catAx>
      <c:valAx>
        <c:axId val="80190080"/>
        <c:scaling>
          <c:orientation val="minMax"/>
          <c:max val="10"/>
          <c:min val="-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188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59049585389256E-2"/>
          <c:y val="2.5611348754416202E-2"/>
          <c:w val="0.83373349148559384"/>
          <c:h val="0.94877730249116865"/>
        </c:manualLayout>
      </c:layout>
      <c:lineChart>
        <c:grouping val="standard"/>
        <c:varyColors val="0"/>
        <c:ser>
          <c:idx val="0"/>
          <c:order val="0"/>
          <c:tx>
            <c:v>Z load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'DIAPASON COEFFICIENTS'!$A$3:$A$147</c:f>
              <c:strCache>
                <c:ptCount val="1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360/0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720/0</c:v>
                </c:pt>
              </c:strCache>
            </c:strRef>
          </c:cat>
          <c:val>
            <c:numRef>
              <c:f>'DIAPASON COEFFICIENTS'!$F$3:$F$147</c:f>
              <c:numCache>
                <c:formatCode>0</c:formatCode>
                <c:ptCount val="145"/>
                <c:pt idx="0">
                  <c:v>128382.1021151411</c:v>
                </c:pt>
                <c:pt idx="1">
                  <c:v>139135.24488553492</c:v>
                </c:pt>
                <c:pt idx="2">
                  <c:v>148722.39270885146</c:v>
                </c:pt>
                <c:pt idx="3">
                  <c:v>156711.85783348663</c:v>
                </c:pt>
                <c:pt idx="4">
                  <c:v>162719.90721055775</c:v>
                </c:pt>
                <c:pt idx="5">
                  <c:v>166444.13696393781</c:v>
                </c:pt>
                <c:pt idx="6">
                  <c:v>167691.28966038828</c:v>
                </c:pt>
                <c:pt idx="7">
                  <c:v>166395.67113350934</c:v>
                </c:pt>
                <c:pt idx="8">
                  <c:v>162625.51866080976</c:v>
                </c:pt>
                <c:pt idx="9">
                  <c:v>156576.3873459106</c:v>
                </c:pt>
                <c:pt idx="10">
                  <c:v>148552.5236450641</c:v>
                </c:pt>
                <c:pt idx="11">
                  <c:v>138938.90289373268</c:v>
                </c:pt>
                <c:pt idx="12">
                  <c:v>128167.79029219285</c:v>
                </c:pt>
                <c:pt idx="13">
                  <c:v>116684.14338507033</c:v>
                </c:pt>
                <c:pt idx="14">
                  <c:v>104913.88356034194</c:v>
                </c:pt>
                <c:pt idx="15">
                  <c:v>93238.163252457132</c:v>
                </c:pt>
                <c:pt idx="16">
                  <c:v>81975.493941519759</c:v>
                </c:pt>
                <c:pt idx="17">
                  <c:v>71372.263092364272</c:v>
                </c:pt>
                <c:pt idx="18">
                  <c:v>61601.005165484799</c:v>
                </c:pt>
                <c:pt idx="19">
                  <c:v>52764.966900033607</c:v>
                </c:pt>
                <c:pt idx="20">
                  <c:v>44907.081857649471</c:v>
                </c:pt>
                <c:pt idx="21">
                  <c:v>38021.414505872672</c:v>
                </c:pt>
                <c:pt idx="22">
                  <c:v>32065.359967674998</c:v>
                </c:pt>
                <c:pt idx="23">
                  <c:v>26971.276996697517</c:v>
                </c:pt>
                <c:pt idx="24">
                  <c:v>22656.679350868355</c:v>
                </c:pt>
                <c:pt idx="25">
                  <c:v>19032.53028577839</c:v>
                </c:pt>
                <c:pt idx="26">
                  <c:v>16009.524884708042</c:v>
                </c:pt>
                <c:pt idx="27">
                  <c:v>13502.484714551372</c:v>
                </c:pt>
                <c:pt idx="28">
                  <c:v>11433.131490615297</c:v>
                </c:pt>
                <c:pt idx="29">
                  <c:v>9731.567741020328</c:v>
                </c:pt>
                <c:pt idx="30">
                  <c:v>8336.7952993844301</c:v>
                </c:pt>
                <c:pt idx="31">
                  <c:v>7196.5689439982025</c:v>
                </c:pt>
                <c:pt idx="32">
                  <c:v>6266.8310148126557</c:v>
                </c:pt>
                <c:pt idx="33">
                  <c:v>5510.9166857067394</c:v>
                </c:pt>
                <c:pt idx="34">
                  <c:v>4898.6671295515343</c:v>
                </c:pt>
                <c:pt idx="35">
                  <c:v>4405.5434420344118</c:v>
                </c:pt>
                <c:pt idx="36">
                  <c:v>4011.7993672468829</c:v>
                </c:pt>
                <c:pt idx="37">
                  <c:v>3701.7452799617272</c:v>
                </c:pt>
                <c:pt idx="38">
                  <c:v>3463.1182745938581</c:v>
                </c:pt>
                <c:pt idx="39">
                  <c:v>3286.5619944254909</c:v>
                </c:pt>
                <c:pt idx="40">
                  <c:v>3165.2134324590515</c:v>
                </c:pt>
                <c:pt idx="41">
                  <c:v>3094.3909796170124</c:v>
                </c:pt>
                <c:pt idx="42">
                  <c:v>3071.3773927937664</c:v>
                </c:pt>
                <c:pt idx="43">
                  <c:v>3095.2922784757866</c:v>
                </c:pt>
                <c:pt idx="44">
                  <c:v>3167.0505359345257</c:v>
                </c:pt>
                <c:pt idx="45">
                  <c:v>3289.4055403993166</c:v>
                </c:pt>
                <c:pt idx="46">
                  <c:v>3467.0783329264618</c:v>
                </c:pt>
                <c:pt idx="47">
                  <c:v>3706.9764141241149</c:v>
                </c:pt>
                <c:pt idx="48">
                  <c:v>4018.5075739947483</c:v>
                </c:pt>
                <c:pt idx="49">
                  <c:v>4413.995090418146</c:v>
                </c:pt>
                <c:pt idx="50">
                  <c:v>4909.199989104558</c:v>
                </c:pt>
                <c:pt idx="51">
                  <c:v>5523.9530473888281</c:v>
                </c:pt>
                <c:pt idx="52">
                  <c:v>6282.8927435164078</c:v>
                </c:pt>
                <c:pt idx="53">
                  <c:v>7216.2940295842936</c:v>
                </c:pt>
                <c:pt idx="54">
                  <c:v>8360.9550631152324</c:v>
                </c:pt>
                <c:pt idx="55">
                  <c:v>9761.083277226875</c:v>
                </c:pt>
                <c:pt idx="56">
                  <c:v>11469.087162331731</c:v>
                </c:pt>
                <c:pt idx="57">
                  <c:v>13546.135585034484</c:v>
                </c:pt>
                <c:pt idx="58">
                  <c:v>16062.293906900179</c:v>
                </c:pt>
                <c:pt idx="59">
                  <c:v>19095.990007978206</c:v>
                </c:pt>
                <c:pt idx="60">
                  <c:v>22732.512035644275</c:v>
                </c:pt>
                <c:pt idx="61">
                  <c:v>27061.206697051839</c:v>
                </c:pt>
                <c:pt idx="62">
                  <c:v>32171.050655182513</c:v>
                </c:pt>
                <c:pt idx="63">
                  <c:v>38144.330241403295</c:v>
                </c:pt>
                <c:pt idx="64">
                  <c:v>45048.308633038359</c:v>
                </c:pt>
                <c:pt idx="65">
                  <c:v>52925.001370575344</c:v>
                </c:pt>
                <c:pt idx="66">
                  <c:v>61779.5228904537</c:v>
                </c:pt>
                <c:pt idx="67">
                  <c:v>71567.887425143519</c:v>
                </c:pt>
                <c:pt idx="68">
                  <c:v>82185.595050187418</c:v>
                </c:pt>
                <c:pt idx="69">
                  <c:v>93458.723004682295</c:v>
                </c:pt>
                <c:pt idx="70">
                  <c:v>105139.46394200058</c:v>
                </c:pt>
                <c:pt idx="71">
                  <c:v>116907.99167185351</c:v>
                </c:pt>
                <c:pt idx="72">
                  <c:v>128382.10211514104</c:v>
                </c:pt>
                <c:pt idx="73">
                  <c:v>139135.24488553492</c:v>
                </c:pt>
                <c:pt idx="74">
                  <c:v>148722.39270885146</c:v>
                </c:pt>
                <c:pt idx="75">
                  <c:v>156711.85783348663</c:v>
                </c:pt>
                <c:pt idx="76">
                  <c:v>162719.90721055775</c:v>
                </c:pt>
                <c:pt idx="77">
                  <c:v>166444.13696393781</c:v>
                </c:pt>
                <c:pt idx="78">
                  <c:v>167691.28966038828</c:v>
                </c:pt>
                <c:pt idx="79">
                  <c:v>166395.67113350934</c:v>
                </c:pt>
                <c:pt idx="80">
                  <c:v>162625.51866080976</c:v>
                </c:pt>
                <c:pt idx="81">
                  <c:v>156576.3873459106</c:v>
                </c:pt>
                <c:pt idx="82">
                  <c:v>148552.5236450641</c:v>
                </c:pt>
                <c:pt idx="83">
                  <c:v>138938.90289373268</c:v>
                </c:pt>
                <c:pt idx="84">
                  <c:v>128167.79029219285</c:v>
                </c:pt>
                <c:pt idx="85">
                  <c:v>116684.14338507033</c:v>
                </c:pt>
                <c:pt idx="86">
                  <c:v>104913.88356034194</c:v>
                </c:pt>
                <c:pt idx="87">
                  <c:v>93238.163252457132</c:v>
                </c:pt>
                <c:pt idx="88">
                  <c:v>81975.493941519759</c:v>
                </c:pt>
                <c:pt idx="89">
                  <c:v>71372.263092364272</c:v>
                </c:pt>
                <c:pt idx="90">
                  <c:v>61601.005165484799</c:v>
                </c:pt>
                <c:pt idx="91">
                  <c:v>52764.966900033607</c:v>
                </c:pt>
                <c:pt idx="92">
                  <c:v>44907.081857649471</c:v>
                </c:pt>
                <c:pt idx="93">
                  <c:v>38021.414505872672</c:v>
                </c:pt>
                <c:pt idx="94">
                  <c:v>32065.359967674998</c:v>
                </c:pt>
                <c:pt idx="95">
                  <c:v>26971.276996697517</c:v>
                </c:pt>
                <c:pt idx="96">
                  <c:v>22656.679350868355</c:v>
                </c:pt>
                <c:pt idx="97">
                  <c:v>19032.53028577839</c:v>
                </c:pt>
                <c:pt idx="98">
                  <c:v>16009.524884708042</c:v>
                </c:pt>
                <c:pt idx="99">
                  <c:v>13502.484714551372</c:v>
                </c:pt>
                <c:pt idx="100">
                  <c:v>11433.131490615297</c:v>
                </c:pt>
                <c:pt idx="101">
                  <c:v>9731.567741020328</c:v>
                </c:pt>
                <c:pt idx="102">
                  <c:v>8336.7952993844301</c:v>
                </c:pt>
                <c:pt idx="103">
                  <c:v>7196.5689439982025</c:v>
                </c:pt>
                <c:pt idx="104">
                  <c:v>6266.8310148126557</c:v>
                </c:pt>
                <c:pt idx="105">
                  <c:v>5510.9166857067394</c:v>
                </c:pt>
                <c:pt idx="106">
                  <c:v>4898.6671295515343</c:v>
                </c:pt>
                <c:pt idx="107">
                  <c:v>4405.5434420344118</c:v>
                </c:pt>
                <c:pt idx="108">
                  <c:v>4011.7993672468829</c:v>
                </c:pt>
                <c:pt idx="109">
                  <c:v>3701.7452799617272</c:v>
                </c:pt>
                <c:pt idx="110">
                  <c:v>3463.1182745938581</c:v>
                </c:pt>
                <c:pt idx="111">
                  <c:v>3286.5619944254909</c:v>
                </c:pt>
                <c:pt idx="112">
                  <c:v>3165.2134324590515</c:v>
                </c:pt>
                <c:pt idx="113">
                  <c:v>3094.3909796170124</c:v>
                </c:pt>
                <c:pt idx="114">
                  <c:v>3071.3773927937664</c:v>
                </c:pt>
                <c:pt idx="115">
                  <c:v>3095.2922784757866</c:v>
                </c:pt>
                <c:pt idx="116">
                  <c:v>3167.0505359345257</c:v>
                </c:pt>
                <c:pt idx="117">
                  <c:v>3289.4055403993166</c:v>
                </c:pt>
                <c:pt idx="118">
                  <c:v>3467.0783329264618</c:v>
                </c:pt>
                <c:pt idx="119">
                  <c:v>3706.9764141241149</c:v>
                </c:pt>
                <c:pt idx="120">
                  <c:v>4018.5075739947483</c:v>
                </c:pt>
                <c:pt idx="121">
                  <c:v>4413.995090418146</c:v>
                </c:pt>
                <c:pt idx="122">
                  <c:v>4909.199989104558</c:v>
                </c:pt>
                <c:pt idx="123">
                  <c:v>5523.9530473888281</c:v>
                </c:pt>
                <c:pt idx="124">
                  <c:v>6282.8927435164078</c:v>
                </c:pt>
                <c:pt idx="125">
                  <c:v>7216.2940295842936</c:v>
                </c:pt>
                <c:pt idx="126">
                  <c:v>8360.9550631152324</c:v>
                </c:pt>
                <c:pt idx="127">
                  <c:v>9761.083277226875</c:v>
                </c:pt>
                <c:pt idx="128">
                  <c:v>11469.087162331731</c:v>
                </c:pt>
                <c:pt idx="129">
                  <c:v>13546.135585034484</c:v>
                </c:pt>
                <c:pt idx="130">
                  <c:v>16062.293906900179</c:v>
                </c:pt>
                <c:pt idx="131">
                  <c:v>19095.990007978206</c:v>
                </c:pt>
                <c:pt idx="132">
                  <c:v>22732.512035644275</c:v>
                </c:pt>
                <c:pt idx="133">
                  <c:v>27061.206697051839</c:v>
                </c:pt>
                <c:pt idx="134">
                  <c:v>32171.050655182513</c:v>
                </c:pt>
                <c:pt idx="135">
                  <c:v>38144.330241403295</c:v>
                </c:pt>
                <c:pt idx="136">
                  <c:v>45048.308633038359</c:v>
                </c:pt>
                <c:pt idx="137">
                  <c:v>52925.001370575344</c:v>
                </c:pt>
                <c:pt idx="138">
                  <c:v>61779.5228904537</c:v>
                </c:pt>
                <c:pt idx="139">
                  <c:v>71567.887425143519</c:v>
                </c:pt>
                <c:pt idx="140">
                  <c:v>82185.595050187418</c:v>
                </c:pt>
                <c:pt idx="141">
                  <c:v>93458.723004682295</c:v>
                </c:pt>
                <c:pt idx="142">
                  <c:v>105139.46394200058</c:v>
                </c:pt>
                <c:pt idx="143">
                  <c:v>116907.99167185351</c:v>
                </c:pt>
                <c:pt idx="144">
                  <c:v>128382.10211514104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E-47E2-9FC0-031BDF28FACB}"/>
            </c:ext>
          </c:extLst>
        </c:ser>
        <c:ser>
          <c:idx val="1"/>
          <c:order val="1"/>
          <c:tx>
            <c:v>Z input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'DIAPASON COEFFICIENTS'!$A$3:$A$147</c:f>
              <c:strCache>
                <c:ptCount val="1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360/0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720/0</c:v>
                </c:pt>
              </c:strCache>
            </c:strRef>
          </c:cat>
          <c:val>
            <c:numRef>
              <c:f>'DIAPASON COEFFICIENTS'!$G$3:$G$147</c:f>
              <c:numCache>
                <c:formatCode>0</c:formatCode>
                <c:ptCount val="145"/>
                <c:pt idx="0">
                  <c:v>2105416.8056261423</c:v>
                </c:pt>
                <c:pt idx="1">
                  <c:v>-3608734.1365631297</c:v>
                </c:pt>
                <c:pt idx="2">
                  <c:v>-1195946.5474959221</c:v>
                </c:pt>
                <c:pt idx="3">
                  <c:v>-806959.03027495404</c:v>
                </c:pt>
                <c:pt idx="4">
                  <c:v>-661723.16502280405</c:v>
                </c:pt>
                <c:pt idx="5">
                  <c:v>-599488.5047432509</c:v>
                </c:pt>
                <c:pt idx="6">
                  <c:v>-581809.12577376852</c:v>
                </c:pt>
                <c:pt idx="7">
                  <c:v>-600203.8260729789</c:v>
                </c:pt>
                <c:pt idx="8">
                  <c:v>-663517.86032886768</c:v>
                </c:pt>
                <c:pt idx="9">
                  <c:v>-811162.80298603745</c:v>
                </c:pt>
                <c:pt idx="10">
                  <c:v>-1209166.8585837816</c:v>
                </c:pt>
                <c:pt idx="11">
                  <c:v>-3778415.7017222964</c:v>
                </c:pt>
                <c:pt idx="12">
                  <c:v>2034302.0653635</c:v>
                </c:pt>
                <c:pt idx="13">
                  <c:v>668226.71786405367</c:v>
                </c:pt>
                <c:pt idx="14">
                  <c:v>353175.49778241059</c:v>
                </c:pt>
                <c:pt idx="15">
                  <c:v>216450.32283364798</c:v>
                </c:pt>
                <c:pt idx="16">
                  <c:v>141703.881912613</c:v>
                </c:pt>
                <c:pt idx="17">
                  <c:v>95547.518485611712</c:v>
                </c:pt>
                <c:pt idx="18">
                  <c:v>64832.795383688521</c:v>
                </c:pt>
                <c:pt idx="19">
                  <c:v>43348.628552162685</c:v>
                </c:pt>
                <c:pt idx="20">
                  <c:v>27786.196425584589</c:v>
                </c:pt>
                <c:pt idx="21">
                  <c:v>16224.168960755043</c:v>
                </c:pt>
                <c:pt idx="22">
                  <c:v>7471.7692280373076</c:v>
                </c:pt>
                <c:pt idx="23">
                  <c:v>752.31358990583419</c:v>
                </c:pt>
                <c:pt idx="24">
                  <c:v>-4461.9637739765585</c:v>
                </c:pt>
                <c:pt idx="25">
                  <c:v>-8541.7810207953971</c:v>
                </c:pt>
                <c:pt idx="26">
                  <c:v>-11754.63652975243</c:v>
                </c:pt>
                <c:pt idx="27">
                  <c:v>-14297.766645808886</c:v>
                </c:pt>
                <c:pt idx="28">
                  <c:v>-16319.114955707684</c:v>
                </c:pt>
                <c:pt idx="29">
                  <c:v>-17931.140113662299</c:v>
                </c:pt>
                <c:pt idx="30">
                  <c:v>-19220.195499226356</c:v>
                </c:pt>
                <c:pt idx="31">
                  <c:v>-20253.082637797805</c:v>
                </c:pt>
                <c:pt idx="32">
                  <c:v>-21081.745549611256</c:v>
                </c:pt>
                <c:pt idx="33">
                  <c:v>-21746.705845620287</c:v>
                </c:pt>
                <c:pt idx="34">
                  <c:v>-22279.620257016915</c:v>
                </c:pt>
                <c:pt idx="35">
                  <c:v>-22705.209822591434</c:v>
                </c:pt>
                <c:pt idx="36">
                  <c:v>-23042.727778669458</c:v>
                </c:pt>
                <c:pt idx="37">
                  <c:v>-23307.081033049868</c:v>
                </c:pt>
                <c:pt idx="38">
                  <c:v>-23509.686102981988</c:v>
                </c:pt>
                <c:pt idx="39">
                  <c:v>-23659.117519423908</c:v>
                </c:pt>
                <c:pt idx="40">
                  <c:v>-23761.590718866562</c:v>
                </c:pt>
                <c:pt idx="41">
                  <c:v>-23821.309792230986</c:v>
                </c:pt>
                <c:pt idx="42">
                  <c:v>-23840.701551496491</c:v>
                </c:pt>
                <c:pt idx="43">
                  <c:v>-23820.550200022928</c:v>
                </c:pt>
                <c:pt idx="44">
                  <c:v>-23760.040777902126</c:v>
                </c:pt>
                <c:pt idx="45">
                  <c:v>-23656.714011946417</c:v>
                </c:pt>
                <c:pt idx="46">
                  <c:v>-23506.329837467412</c:v>
                </c:pt>
                <c:pt idx="47">
                  <c:v>-23302.631310182347</c:v>
                </c:pt>
                <c:pt idx="48">
                  <c:v>-23036.994496660176</c:v>
                </c:pt>
                <c:pt idx="49">
                  <c:v>-22697.942730942741</c:v>
                </c:pt>
                <c:pt idx="50">
                  <c:v>-22270.49467446567</c:v>
                </c:pt>
                <c:pt idx="51">
                  <c:v>-21735.303898999711</c:v>
                </c:pt>
                <c:pt idx="52">
                  <c:v>-21067.531627442266</c:v>
                </c:pt>
                <c:pt idx="53">
                  <c:v>-20235.371222972983</c:v>
                </c:pt>
                <c:pt idx="54">
                  <c:v>-19198.108745558009</c:v>
                </c:pt>
                <c:pt idx="55">
                  <c:v>-17903.551287912444</c:v>
                </c:pt>
                <c:pt idx="56">
                  <c:v>-16284.57188612398</c:v>
                </c:pt>
                <c:pt idx="57">
                  <c:v>-14254.386093359986</c:v>
                </c:pt>
                <c:pt idx="58">
                  <c:v>-11699.955033811648</c:v>
                </c:pt>
                <c:pt idx="59">
                  <c:v>-8472.5386346390369</c:v>
                </c:pt>
                <c:pt idx="60">
                  <c:v>-4373.7811058707393</c:v>
                </c:pt>
                <c:pt idx="61">
                  <c:v>865.4335943750433</c:v>
                </c:pt>
                <c:pt idx="62">
                  <c:v>7618.2380084871284</c:v>
                </c:pt>
                <c:pt idx="63">
                  <c:v>16416.139177989298</c:v>
                </c:pt>
                <c:pt idx="64">
                  <c:v>28041.878202530195</c:v>
                </c:pt>
                <c:pt idx="65">
                  <c:v>43696.567586954188</c:v>
                </c:pt>
                <c:pt idx="66">
                  <c:v>65320.345344802437</c:v>
                </c:pt>
                <c:pt idx="67">
                  <c:v>96259.182607166236</c:v>
                </c:pt>
                <c:pt idx="68">
                  <c:v>142806.00159438176</c:v>
                </c:pt>
                <c:pt idx="69">
                  <c:v>218319.52084848579</c:v>
                </c:pt>
                <c:pt idx="70">
                  <c:v>356872.78733050078</c:v>
                </c:pt>
                <c:pt idx="71">
                  <c:v>678208.39392508077</c:v>
                </c:pt>
                <c:pt idx="72">
                  <c:v>2105416.8056261241</c:v>
                </c:pt>
                <c:pt idx="73">
                  <c:v>-3608734.1365631297</c:v>
                </c:pt>
                <c:pt idx="74">
                  <c:v>-1195946.5474959221</c:v>
                </c:pt>
                <c:pt idx="75">
                  <c:v>-806959.03027495404</c:v>
                </c:pt>
                <c:pt idx="76">
                  <c:v>-661723.16502280405</c:v>
                </c:pt>
                <c:pt idx="77">
                  <c:v>-599488.5047432509</c:v>
                </c:pt>
                <c:pt idx="78">
                  <c:v>-581809.12577376852</c:v>
                </c:pt>
                <c:pt idx="79">
                  <c:v>-600203.8260729789</c:v>
                </c:pt>
                <c:pt idx="80">
                  <c:v>-663517.86032886768</c:v>
                </c:pt>
                <c:pt idx="81">
                  <c:v>-811162.80298603745</c:v>
                </c:pt>
                <c:pt idx="82">
                  <c:v>-1209166.8585837816</c:v>
                </c:pt>
                <c:pt idx="83">
                  <c:v>-3778415.7017222964</c:v>
                </c:pt>
                <c:pt idx="84">
                  <c:v>2034302.0653635</c:v>
                </c:pt>
                <c:pt idx="85">
                  <c:v>668226.71786405367</c:v>
                </c:pt>
                <c:pt idx="86">
                  <c:v>353175.49778241059</c:v>
                </c:pt>
                <c:pt idx="87">
                  <c:v>216450.32283364798</c:v>
                </c:pt>
                <c:pt idx="88">
                  <c:v>141703.881912613</c:v>
                </c:pt>
                <c:pt idx="89">
                  <c:v>95547.518485611712</c:v>
                </c:pt>
                <c:pt idx="90">
                  <c:v>64832.795383688521</c:v>
                </c:pt>
                <c:pt idx="91">
                  <c:v>43348.628552162685</c:v>
                </c:pt>
                <c:pt idx="92">
                  <c:v>27786.196425584589</c:v>
                </c:pt>
                <c:pt idx="93">
                  <c:v>16224.168960755043</c:v>
                </c:pt>
                <c:pt idx="94">
                  <c:v>7471.7692280373076</c:v>
                </c:pt>
                <c:pt idx="95">
                  <c:v>752.31358990583419</c:v>
                </c:pt>
                <c:pt idx="96">
                  <c:v>-4461.9637739765585</c:v>
                </c:pt>
                <c:pt idx="97">
                  <c:v>-8541.7810207953971</c:v>
                </c:pt>
                <c:pt idx="98">
                  <c:v>-11754.63652975243</c:v>
                </c:pt>
                <c:pt idx="99">
                  <c:v>-14297.766645808886</c:v>
                </c:pt>
                <c:pt idx="100">
                  <c:v>-16319.114955707684</c:v>
                </c:pt>
                <c:pt idx="101">
                  <c:v>-17931.140113662299</c:v>
                </c:pt>
                <c:pt idx="102">
                  <c:v>-19220.195499226356</c:v>
                </c:pt>
                <c:pt idx="103">
                  <c:v>-20253.082637797805</c:v>
                </c:pt>
                <c:pt idx="104">
                  <c:v>-21081.745549611256</c:v>
                </c:pt>
                <c:pt idx="105">
                  <c:v>-21746.705845620287</c:v>
                </c:pt>
                <c:pt idx="106">
                  <c:v>-22279.620257016915</c:v>
                </c:pt>
                <c:pt idx="107">
                  <c:v>-22705.209822591434</c:v>
                </c:pt>
                <c:pt idx="108">
                  <c:v>-23042.727778669458</c:v>
                </c:pt>
                <c:pt idx="109">
                  <c:v>-23307.081033049868</c:v>
                </c:pt>
                <c:pt idx="110">
                  <c:v>-23509.686102981988</c:v>
                </c:pt>
                <c:pt idx="111">
                  <c:v>-23659.117519423908</c:v>
                </c:pt>
                <c:pt idx="112">
                  <c:v>-23761.590718866562</c:v>
                </c:pt>
                <c:pt idx="113">
                  <c:v>-23821.309792230986</c:v>
                </c:pt>
                <c:pt idx="114">
                  <c:v>-23840.701551496491</c:v>
                </c:pt>
                <c:pt idx="115">
                  <c:v>-23820.550200022928</c:v>
                </c:pt>
                <c:pt idx="116">
                  <c:v>-23760.040777902126</c:v>
                </c:pt>
                <c:pt idx="117">
                  <c:v>-23656.714011946417</c:v>
                </c:pt>
                <c:pt idx="118">
                  <c:v>-23506.329837467412</c:v>
                </c:pt>
                <c:pt idx="119">
                  <c:v>-23302.631310182347</c:v>
                </c:pt>
                <c:pt idx="120">
                  <c:v>-23036.994496660176</c:v>
                </c:pt>
                <c:pt idx="121">
                  <c:v>-22697.942730942741</c:v>
                </c:pt>
                <c:pt idx="122">
                  <c:v>-22270.49467446567</c:v>
                </c:pt>
                <c:pt idx="123">
                  <c:v>-21735.303898999711</c:v>
                </c:pt>
                <c:pt idx="124">
                  <c:v>-21067.531627442266</c:v>
                </c:pt>
                <c:pt idx="125">
                  <c:v>-20235.371222972983</c:v>
                </c:pt>
                <c:pt idx="126">
                  <c:v>-19198.108745558009</c:v>
                </c:pt>
                <c:pt idx="127">
                  <c:v>-17903.551287912444</c:v>
                </c:pt>
                <c:pt idx="128">
                  <c:v>-16284.57188612398</c:v>
                </c:pt>
                <c:pt idx="129">
                  <c:v>-14254.386093359986</c:v>
                </c:pt>
                <c:pt idx="130">
                  <c:v>-11699.955033811648</c:v>
                </c:pt>
                <c:pt idx="131">
                  <c:v>-8472.5386346390369</c:v>
                </c:pt>
                <c:pt idx="132">
                  <c:v>-4373.7811058707393</c:v>
                </c:pt>
                <c:pt idx="133">
                  <c:v>865.4335943750433</c:v>
                </c:pt>
                <c:pt idx="134">
                  <c:v>7618.2380084871284</c:v>
                </c:pt>
                <c:pt idx="135">
                  <c:v>16416.139177989298</c:v>
                </c:pt>
                <c:pt idx="136">
                  <c:v>28041.878202530195</c:v>
                </c:pt>
                <c:pt idx="137">
                  <c:v>43696.567586954188</c:v>
                </c:pt>
                <c:pt idx="138">
                  <c:v>65320.345344802437</c:v>
                </c:pt>
                <c:pt idx="139">
                  <c:v>96259.182607166236</c:v>
                </c:pt>
                <c:pt idx="140">
                  <c:v>142806.00159438176</c:v>
                </c:pt>
                <c:pt idx="141">
                  <c:v>218319.52084848579</c:v>
                </c:pt>
                <c:pt idx="142">
                  <c:v>356872.78733050078</c:v>
                </c:pt>
                <c:pt idx="143">
                  <c:v>678208.39392508077</c:v>
                </c:pt>
                <c:pt idx="144">
                  <c:v>2105416.8056261241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E-47E2-9FC0-031BDF28F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215424"/>
        <c:axId val="80254080"/>
      </c:lineChart>
      <c:catAx>
        <c:axId val="802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254080"/>
        <c:crosses val="autoZero"/>
        <c:auto val="1"/>
        <c:lblAlgn val="ctr"/>
        <c:lblOffset val="100"/>
        <c:noMultiLvlLbl val="0"/>
      </c:catAx>
      <c:valAx>
        <c:axId val="80254080"/>
        <c:scaling>
          <c:orientation val="minMax"/>
          <c:max val="1000000"/>
          <c:min val="-10000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0215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Reflected Power</c:v>
          </c:tx>
          <c:marker>
            <c:symbol val="none"/>
          </c:marker>
          <c:cat>
            <c:strRef>
              <c:f>'DIAPASON COEFFICIENTS'!$A$3:$A$147</c:f>
              <c:strCache>
                <c:ptCount val="1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360/0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720/0</c:v>
                </c:pt>
              </c:strCache>
            </c:strRef>
          </c:cat>
          <c:val>
            <c:numRef>
              <c:f>'DIAPASON COEFFICIENTS'!$B$3:$B$147</c:f>
              <c:numCache>
                <c:formatCode>General</c:formatCode>
                <c:ptCount val="145"/>
                <c:pt idx="0">
                  <c:v>0.78332220343173153</c:v>
                </c:pt>
                <c:pt idx="1">
                  <c:v>1.1668374314553449</c:v>
                </c:pt>
                <c:pt idx="2">
                  <c:v>1.6487372311519155</c:v>
                </c:pt>
                <c:pt idx="3">
                  <c:v>2.1963448703021942</c:v>
                </c:pt>
                <c:pt idx="4">
                  <c:v>2.7296978898361259</c:v>
                </c:pt>
                <c:pt idx="5">
                  <c:v>3.1283574298800261</c:v>
                </c:pt>
                <c:pt idx="6">
                  <c:v>3.2756378726912412</c:v>
                </c:pt>
                <c:pt idx="7">
                  <c:v>3.1227817777490392</c:v>
                </c:pt>
                <c:pt idx="8">
                  <c:v>2.7203330001279213</c:v>
                </c:pt>
                <c:pt idx="9">
                  <c:v>2.1856603872269029</c:v>
                </c:pt>
                <c:pt idx="10">
                  <c:v>1.6387211181047725</c:v>
                </c:pt>
                <c:pt idx="11">
                  <c:v>1.1585315418734405</c:v>
                </c:pt>
                <c:pt idx="12">
                  <c:v>0.77697466327160714</c:v>
                </c:pt>
                <c:pt idx="13">
                  <c:v>0.49376170785597451</c:v>
                </c:pt>
                <c:pt idx="14">
                  <c:v>0.29370997760176254</c:v>
                </c:pt>
                <c:pt idx="15">
                  <c:v>0.15829129105606882</c:v>
                </c:pt>
                <c:pt idx="16">
                  <c:v>7.1303311943946901E-2</c:v>
                </c:pt>
                <c:pt idx="17">
                  <c:v>2.0976186034375489E-2</c:v>
                </c:pt>
                <c:pt idx="18">
                  <c:v>6.5337112668765356E-4</c:v>
                </c:pt>
                <c:pt idx="19">
                  <c:v>9.5983031572255649E-3</c:v>
                </c:pt>
                <c:pt idx="20">
                  <c:v>5.5470736536527641E-2</c:v>
                </c:pt>
                <c:pt idx="21">
                  <c:v>0.16146353757089996</c:v>
                </c:pt>
                <c:pt idx="22">
                  <c:v>0.38693108367232054</c:v>
                </c:pt>
                <c:pt idx="23">
                  <c:v>0.8944005991101075</c:v>
                </c:pt>
                <c:pt idx="24">
                  <c:v>2.2214951520247244</c:v>
                </c:pt>
                <c:pt idx="25">
                  <c:v>6.9086999947799601</c:v>
                </c:pt>
                <c:pt idx="26">
                  <c:v>42.578737811610807</c:v>
                </c:pt>
                <c:pt idx="27">
                  <c:v>1221.955004860743</c:v>
                </c:pt>
                <c:pt idx="28">
                  <c:v>32.262075345979987</c:v>
                </c:pt>
                <c:pt idx="29">
                  <c:v>11.381695785454815</c:v>
                </c:pt>
                <c:pt idx="30">
                  <c:v>6.4111270599876269</c:v>
                </c:pt>
                <c:pt idx="31">
                  <c:v>4.4199689198361058</c:v>
                </c:pt>
                <c:pt idx="32">
                  <c:v>3.4077768901353491</c:v>
                </c:pt>
                <c:pt idx="33">
                  <c:v>2.8185720458049786</c:v>
                </c:pt>
                <c:pt idx="34">
                  <c:v>2.4451020877526606</c:v>
                </c:pt>
                <c:pt idx="35">
                  <c:v>2.1948094657643176</c:v>
                </c:pt>
                <c:pt idx="36">
                  <c:v>2.0209703617427119</c:v>
                </c:pt>
                <c:pt idx="37">
                  <c:v>1.8978542448288021</c:v>
                </c:pt>
                <c:pt idx="38">
                  <c:v>1.8103900318849255</c:v>
                </c:pt>
                <c:pt idx="39">
                  <c:v>1.7493924983095479</c:v>
                </c:pt>
                <c:pt idx="40">
                  <c:v>1.7091805648153284</c:v>
                </c:pt>
                <c:pt idx="41">
                  <c:v>1.6863273760423536</c:v>
                </c:pt>
                <c:pt idx="42">
                  <c:v>1.6789964072966446</c:v>
                </c:pt>
                <c:pt idx="43">
                  <c:v>1.686615425717122</c:v>
                </c:pt>
                <c:pt idx="44">
                  <c:v>1.7097793155564946</c:v>
                </c:pt>
                <c:pt idx="45">
                  <c:v>1.7503511432078114</c:v>
                </c:pt>
                <c:pt idx="46">
                  <c:v>1.8117933309139846</c:v>
                </c:pt>
                <c:pt idx="47">
                  <c:v>1.8998398313526683</c:v>
                </c:pt>
                <c:pt idx="48">
                  <c:v>2.0237612248919907</c:v>
                </c:pt>
                <c:pt idx="49">
                  <c:v>2.1987769813785438</c:v>
                </c:pt>
                <c:pt idx="50">
                  <c:v>2.4508962632355011</c:v>
                </c:pt>
                <c:pt idx="51">
                  <c:v>2.8274153834482316</c:v>
                </c:pt>
                <c:pt idx="52">
                  <c:v>3.4222103143791704</c:v>
                </c:pt>
                <c:pt idx="53">
                  <c:v>4.4460770507195253</c:v>
                </c:pt>
                <c:pt idx="54">
                  <c:v>6.4669344122487127</c:v>
                </c:pt>
                <c:pt idx="55">
                  <c:v>11.543506545330358</c:v>
                </c:pt>
                <c:pt idx="56">
                  <c:v>33.217005504456814</c:v>
                </c:pt>
                <c:pt idx="57">
                  <c:v>1540.7497336368529</c:v>
                </c:pt>
                <c:pt idx="58">
                  <c:v>40.501442368744762</c:v>
                </c:pt>
                <c:pt idx="59">
                  <c:v>6.7343534647248893</c:v>
                </c:pt>
                <c:pt idx="60">
                  <c:v>2.179992241128816</c:v>
                </c:pt>
                <c:pt idx="61">
                  <c:v>0.87988326543629003</c:v>
                </c:pt>
                <c:pt idx="62">
                  <c:v>0.38077651053494382</c:v>
                </c:pt>
                <c:pt idx="63">
                  <c:v>0.15859553148305955</c:v>
                </c:pt>
                <c:pt idx="64">
                  <c:v>5.4138745679624692E-2</c:v>
                </c:pt>
                <c:pt idx="65">
                  <c:v>9.1223730874323873E-3</c:v>
                </c:pt>
                <c:pt idx="66">
                  <c:v>7.7610074576472574E-4</c:v>
                </c:pt>
                <c:pt idx="67">
                  <c:v>2.1645305394246354E-2</c:v>
                </c:pt>
                <c:pt idx="68">
                  <c:v>7.2594729919014001E-2</c:v>
                </c:pt>
                <c:pt idx="69">
                  <c:v>0.16038383668856557</c:v>
                </c:pt>
                <c:pt idx="70">
                  <c:v>0.29687555225829904</c:v>
                </c:pt>
                <c:pt idx="71">
                  <c:v>0.49834407611019604</c:v>
                </c:pt>
                <c:pt idx="72">
                  <c:v>0.78332220343172987</c:v>
                </c:pt>
                <c:pt idx="73">
                  <c:v>1.1668374314553449</c:v>
                </c:pt>
                <c:pt idx="74">
                  <c:v>1.6487372311519155</c:v>
                </c:pt>
                <c:pt idx="75">
                  <c:v>2.1963448703021942</c:v>
                </c:pt>
                <c:pt idx="76">
                  <c:v>2.7296978898361259</c:v>
                </c:pt>
                <c:pt idx="77">
                  <c:v>3.1283574298800261</c:v>
                </c:pt>
                <c:pt idx="78">
                  <c:v>3.2756378726912412</c:v>
                </c:pt>
                <c:pt idx="79">
                  <c:v>3.1227817777490392</c:v>
                </c:pt>
                <c:pt idx="80">
                  <c:v>2.7203330001279213</c:v>
                </c:pt>
                <c:pt idx="81">
                  <c:v>2.1856603872269029</c:v>
                </c:pt>
                <c:pt idx="82">
                  <c:v>1.6387211181047725</c:v>
                </c:pt>
                <c:pt idx="83">
                  <c:v>1.1585315418734405</c:v>
                </c:pt>
                <c:pt idx="84">
                  <c:v>0.77697466327160714</c:v>
                </c:pt>
                <c:pt idx="85">
                  <c:v>0.49376170785597451</c:v>
                </c:pt>
                <c:pt idx="86">
                  <c:v>0.29370997760176254</c:v>
                </c:pt>
                <c:pt idx="87">
                  <c:v>0.15829129105606882</c:v>
                </c:pt>
                <c:pt idx="88">
                  <c:v>7.1303311943946901E-2</c:v>
                </c:pt>
                <c:pt idx="89">
                  <c:v>2.0976186034375489E-2</c:v>
                </c:pt>
                <c:pt idx="90">
                  <c:v>6.5337112668765356E-4</c:v>
                </c:pt>
                <c:pt idx="91">
                  <c:v>9.5983031572255649E-3</c:v>
                </c:pt>
                <c:pt idx="92">
                  <c:v>5.5470736536527641E-2</c:v>
                </c:pt>
                <c:pt idx="93">
                  <c:v>0.16146353757089996</c:v>
                </c:pt>
                <c:pt idx="94">
                  <c:v>0.38693108367232054</c:v>
                </c:pt>
                <c:pt idx="95">
                  <c:v>0.8944005991101075</c:v>
                </c:pt>
                <c:pt idx="96">
                  <c:v>2.2214951520247244</c:v>
                </c:pt>
                <c:pt idx="97">
                  <c:v>6.9086999947799601</c:v>
                </c:pt>
                <c:pt idx="98">
                  <c:v>42.578737811610807</c:v>
                </c:pt>
                <c:pt idx="99">
                  <c:v>1221.955004860743</c:v>
                </c:pt>
                <c:pt idx="100">
                  <c:v>32.262075345979987</c:v>
                </c:pt>
                <c:pt idx="101">
                  <c:v>11.381695785454815</c:v>
                </c:pt>
                <c:pt idx="102">
                  <c:v>6.4111270599876269</c:v>
                </c:pt>
                <c:pt idx="103">
                  <c:v>4.4199689198361058</c:v>
                </c:pt>
                <c:pt idx="104">
                  <c:v>3.4077768901353491</c:v>
                </c:pt>
                <c:pt idx="105">
                  <c:v>2.8185720458049786</c:v>
                </c:pt>
                <c:pt idx="106">
                  <c:v>2.4451020877526606</c:v>
                </c:pt>
                <c:pt idx="107">
                  <c:v>2.1948094657643176</c:v>
                </c:pt>
                <c:pt idx="108">
                  <c:v>2.0209703617427119</c:v>
                </c:pt>
                <c:pt idx="109">
                  <c:v>1.8978542448288021</c:v>
                </c:pt>
                <c:pt idx="110">
                  <c:v>1.8103900318849255</c:v>
                </c:pt>
                <c:pt idx="111">
                  <c:v>1.7493924983095479</c:v>
                </c:pt>
                <c:pt idx="112">
                  <c:v>1.7091805648153284</c:v>
                </c:pt>
                <c:pt idx="113">
                  <c:v>1.6863273760423536</c:v>
                </c:pt>
                <c:pt idx="114">
                  <c:v>1.6789964072966446</c:v>
                </c:pt>
                <c:pt idx="115">
                  <c:v>1.686615425717122</c:v>
                </c:pt>
                <c:pt idx="116">
                  <c:v>1.7097793155564946</c:v>
                </c:pt>
                <c:pt idx="117">
                  <c:v>1.7503511432078114</c:v>
                </c:pt>
                <c:pt idx="118">
                  <c:v>1.8117933309139846</c:v>
                </c:pt>
                <c:pt idx="119">
                  <c:v>1.8998398313526683</c:v>
                </c:pt>
                <c:pt idx="120">
                  <c:v>2.0237612248919907</c:v>
                </c:pt>
                <c:pt idx="121">
                  <c:v>2.1987769813785438</c:v>
                </c:pt>
                <c:pt idx="122">
                  <c:v>2.4508962632355011</c:v>
                </c:pt>
                <c:pt idx="123">
                  <c:v>2.8274153834482316</c:v>
                </c:pt>
                <c:pt idx="124">
                  <c:v>3.4222103143791704</c:v>
                </c:pt>
                <c:pt idx="125">
                  <c:v>4.4460770507195253</c:v>
                </c:pt>
                <c:pt idx="126">
                  <c:v>6.4669344122487127</c:v>
                </c:pt>
                <c:pt idx="127">
                  <c:v>11.543506545330358</c:v>
                </c:pt>
                <c:pt idx="128">
                  <c:v>33.217005504456814</c:v>
                </c:pt>
                <c:pt idx="129">
                  <c:v>1540.7497336368529</c:v>
                </c:pt>
                <c:pt idx="130">
                  <c:v>40.501442368744762</c:v>
                </c:pt>
                <c:pt idx="131">
                  <c:v>6.7343534647248893</c:v>
                </c:pt>
                <c:pt idx="132">
                  <c:v>2.179992241128816</c:v>
                </c:pt>
                <c:pt idx="133">
                  <c:v>0.87988326543629003</c:v>
                </c:pt>
                <c:pt idx="134">
                  <c:v>0.38077651053494382</c:v>
                </c:pt>
                <c:pt idx="135">
                  <c:v>0.15859553148305955</c:v>
                </c:pt>
                <c:pt idx="136">
                  <c:v>5.4138745679624692E-2</c:v>
                </c:pt>
                <c:pt idx="137">
                  <c:v>9.1223730874323873E-3</c:v>
                </c:pt>
                <c:pt idx="138">
                  <c:v>7.7610074576472574E-4</c:v>
                </c:pt>
                <c:pt idx="139">
                  <c:v>2.1645305394246354E-2</c:v>
                </c:pt>
                <c:pt idx="140">
                  <c:v>7.2594729919014001E-2</c:v>
                </c:pt>
                <c:pt idx="141">
                  <c:v>0.16038383668856557</c:v>
                </c:pt>
                <c:pt idx="142">
                  <c:v>0.29687555225829904</c:v>
                </c:pt>
                <c:pt idx="143">
                  <c:v>0.49834407611019604</c:v>
                </c:pt>
                <c:pt idx="144">
                  <c:v>0.78332220343172987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C-41A0-B90B-1703CE5D7380}"/>
            </c:ext>
          </c:extLst>
        </c:ser>
        <c:ser>
          <c:idx val="1"/>
          <c:order val="1"/>
          <c:tx>
            <c:v>Transmitted Power</c:v>
          </c:tx>
          <c:marker>
            <c:symbol val="none"/>
          </c:marker>
          <c:cat>
            <c:strRef>
              <c:f>'DIAPASON COEFFICIENTS'!$A$3:$A$147</c:f>
              <c:strCache>
                <c:ptCount val="1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360/0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720/0</c:v>
                </c:pt>
              </c:strCache>
            </c:strRef>
          </c:cat>
          <c:val>
            <c:numRef>
              <c:f>'DIAPASON COEFFICIENTS'!$C$3:$C$147</c:f>
              <c:numCache>
                <c:formatCode>General</c:formatCode>
                <c:ptCount val="145"/>
                <c:pt idx="0">
                  <c:v>0.21667779656826844</c:v>
                </c:pt>
                <c:pt idx="1">
                  <c:v>-0.16683743145534499</c:v>
                </c:pt>
                <c:pt idx="2">
                  <c:v>-0.64873723115191539</c:v>
                </c:pt>
                <c:pt idx="3">
                  <c:v>-1.1963448703021944</c:v>
                </c:pt>
                <c:pt idx="4">
                  <c:v>-1.7296978898361259</c:v>
                </c:pt>
                <c:pt idx="5">
                  <c:v>-2.128357429880027</c:v>
                </c:pt>
                <c:pt idx="6">
                  <c:v>-2.2756378726912412</c:v>
                </c:pt>
                <c:pt idx="7">
                  <c:v>-2.1227817777490388</c:v>
                </c:pt>
                <c:pt idx="8">
                  <c:v>-1.7203330001279218</c:v>
                </c:pt>
                <c:pt idx="9">
                  <c:v>-1.1856603872269036</c:v>
                </c:pt>
                <c:pt idx="10">
                  <c:v>-0.63872111810477239</c:v>
                </c:pt>
                <c:pt idx="11">
                  <c:v>-0.15853154187344054</c:v>
                </c:pt>
                <c:pt idx="12">
                  <c:v>0.22302533672839264</c:v>
                </c:pt>
                <c:pt idx="13">
                  <c:v>0.50623829214402527</c:v>
                </c:pt>
                <c:pt idx="14">
                  <c:v>0.70629002239823724</c:v>
                </c:pt>
                <c:pt idx="15">
                  <c:v>0.84170870894393113</c:v>
                </c:pt>
                <c:pt idx="16">
                  <c:v>0.9286966880560531</c:v>
                </c:pt>
                <c:pt idx="17">
                  <c:v>0.97902381396562455</c:v>
                </c:pt>
                <c:pt idx="18">
                  <c:v>0.99934662887331238</c:v>
                </c:pt>
                <c:pt idx="19">
                  <c:v>0.99040169684277468</c:v>
                </c:pt>
                <c:pt idx="20">
                  <c:v>0.94452926346347243</c:v>
                </c:pt>
                <c:pt idx="21">
                  <c:v>0.83853646242910007</c:v>
                </c:pt>
                <c:pt idx="22">
                  <c:v>0.61306891632767957</c:v>
                </c:pt>
                <c:pt idx="23">
                  <c:v>0.10559940088989267</c:v>
                </c:pt>
                <c:pt idx="24">
                  <c:v>-1.2214951520247241</c:v>
                </c:pt>
                <c:pt idx="25">
                  <c:v>-5.908699994779961</c:v>
                </c:pt>
                <c:pt idx="26">
                  <c:v>-41.5787378116108</c:v>
                </c:pt>
                <c:pt idx="27">
                  <c:v>-1220.9550048607432</c:v>
                </c:pt>
                <c:pt idx="28">
                  <c:v>-31.262075345979994</c:v>
                </c:pt>
                <c:pt idx="29">
                  <c:v>-10.381695785454815</c:v>
                </c:pt>
                <c:pt idx="30">
                  <c:v>-5.4111270599876278</c:v>
                </c:pt>
                <c:pt idx="31">
                  <c:v>-3.4199689198361063</c:v>
                </c:pt>
                <c:pt idx="32">
                  <c:v>-2.4077768901353496</c:v>
                </c:pt>
                <c:pt idx="33">
                  <c:v>-1.8185720458049783</c:v>
                </c:pt>
                <c:pt idx="34">
                  <c:v>-1.4451020877526606</c:v>
                </c:pt>
                <c:pt idx="35">
                  <c:v>-1.1948094657643169</c:v>
                </c:pt>
                <c:pt idx="36">
                  <c:v>-1.0209703617427117</c:v>
                </c:pt>
                <c:pt idx="37">
                  <c:v>-0.89785424482880183</c:v>
                </c:pt>
                <c:pt idx="38">
                  <c:v>-0.81039003188492587</c:v>
                </c:pt>
                <c:pt idx="39">
                  <c:v>-0.74939249830954813</c:v>
                </c:pt>
                <c:pt idx="40">
                  <c:v>-0.70918056481532821</c:v>
                </c:pt>
                <c:pt idx="41">
                  <c:v>-0.68632737604235361</c:v>
                </c:pt>
                <c:pt idx="42">
                  <c:v>-0.67899640729664468</c:v>
                </c:pt>
                <c:pt idx="43">
                  <c:v>-0.68661542571712186</c:v>
                </c:pt>
                <c:pt idx="44">
                  <c:v>-0.70977931555649443</c:v>
                </c:pt>
                <c:pt idx="45">
                  <c:v>-0.75035114320781171</c:v>
                </c:pt>
                <c:pt idx="46">
                  <c:v>-0.81179333091398431</c:v>
                </c:pt>
                <c:pt idx="47">
                  <c:v>-0.89983983135266843</c:v>
                </c:pt>
                <c:pt idx="48">
                  <c:v>-1.0237612248919903</c:v>
                </c:pt>
                <c:pt idx="49">
                  <c:v>-1.198776981378544</c:v>
                </c:pt>
                <c:pt idx="50">
                  <c:v>-1.4508962632355018</c:v>
                </c:pt>
                <c:pt idx="51">
                  <c:v>-1.8274153834482323</c:v>
                </c:pt>
                <c:pt idx="52">
                  <c:v>-2.4222103143791704</c:v>
                </c:pt>
                <c:pt idx="53">
                  <c:v>-3.4460770507195262</c:v>
                </c:pt>
                <c:pt idx="54">
                  <c:v>-5.4669344122487127</c:v>
                </c:pt>
                <c:pt idx="55">
                  <c:v>-10.543506545330356</c:v>
                </c:pt>
                <c:pt idx="56">
                  <c:v>-32.217005504456822</c:v>
                </c:pt>
                <c:pt idx="57">
                  <c:v>-1539.7497336368529</c:v>
                </c:pt>
                <c:pt idx="58">
                  <c:v>-39.501442368744762</c:v>
                </c:pt>
                <c:pt idx="59">
                  <c:v>-5.7343534647248893</c:v>
                </c:pt>
                <c:pt idx="60">
                  <c:v>-1.1799922411288155</c:v>
                </c:pt>
                <c:pt idx="61">
                  <c:v>0.12011673456370987</c:v>
                </c:pt>
                <c:pt idx="62">
                  <c:v>0.61922348946505601</c:v>
                </c:pt>
                <c:pt idx="63">
                  <c:v>0.84140446851694017</c:v>
                </c:pt>
                <c:pt idx="64">
                  <c:v>0.94586125432037516</c:v>
                </c:pt>
                <c:pt idx="65">
                  <c:v>0.99087762691256775</c:v>
                </c:pt>
                <c:pt idx="66">
                  <c:v>0.99922389925423527</c:v>
                </c:pt>
                <c:pt idx="67">
                  <c:v>0.97835469460575386</c:v>
                </c:pt>
                <c:pt idx="68">
                  <c:v>0.92740527008098594</c:v>
                </c:pt>
                <c:pt idx="69">
                  <c:v>0.8396161633114344</c:v>
                </c:pt>
                <c:pt idx="70">
                  <c:v>0.70312444774170091</c:v>
                </c:pt>
                <c:pt idx="71">
                  <c:v>0.50165592388980407</c:v>
                </c:pt>
                <c:pt idx="72">
                  <c:v>0.21667779656826999</c:v>
                </c:pt>
                <c:pt idx="73">
                  <c:v>-0.16683743145534499</c:v>
                </c:pt>
                <c:pt idx="74">
                  <c:v>-0.64873723115191539</c:v>
                </c:pt>
                <c:pt idx="75">
                  <c:v>-1.1963448703021944</c:v>
                </c:pt>
                <c:pt idx="76">
                  <c:v>-1.7296978898361259</c:v>
                </c:pt>
                <c:pt idx="77">
                  <c:v>-2.128357429880027</c:v>
                </c:pt>
                <c:pt idx="78">
                  <c:v>-2.2756378726912412</c:v>
                </c:pt>
                <c:pt idx="79">
                  <c:v>-2.1227817777490388</c:v>
                </c:pt>
                <c:pt idx="80">
                  <c:v>-1.7203330001279218</c:v>
                </c:pt>
                <c:pt idx="81">
                  <c:v>-1.1856603872269036</c:v>
                </c:pt>
                <c:pt idx="82">
                  <c:v>-0.63872111810477239</c:v>
                </c:pt>
                <c:pt idx="83">
                  <c:v>-0.15853154187344054</c:v>
                </c:pt>
                <c:pt idx="84">
                  <c:v>0.22302533672839264</c:v>
                </c:pt>
                <c:pt idx="85">
                  <c:v>0.50623829214402527</c:v>
                </c:pt>
                <c:pt idx="86">
                  <c:v>0.70629002239823724</c:v>
                </c:pt>
                <c:pt idx="87">
                  <c:v>0.84170870894393113</c:v>
                </c:pt>
                <c:pt idx="88">
                  <c:v>0.9286966880560531</c:v>
                </c:pt>
                <c:pt idx="89">
                  <c:v>0.97902381396562455</c:v>
                </c:pt>
                <c:pt idx="90">
                  <c:v>0.99934662887331238</c:v>
                </c:pt>
                <c:pt idx="91">
                  <c:v>0.99040169684277468</c:v>
                </c:pt>
                <c:pt idx="92">
                  <c:v>0.94452926346347243</c:v>
                </c:pt>
                <c:pt idx="93">
                  <c:v>0.83853646242910007</c:v>
                </c:pt>
                <c:pt idx="94">
                  <c:v>0.61306891632767957</c:v>
                </c:pt>
                <c:pt idx="95">
                  <c:v>0.10559940088989267</c:v>
                </c:pt>
                <c:pt idx="96">
                  <c:v>-1.2214951520247241</c:v>
                </c:pt>
                <c:pt idx="97">
                  <c:v>-5.908699994779961</c:v>
                </c:pt>
                <c:pt idx="98">
                  <c:v>-41.5787378116108</c:v>
                </c:pt>
                <c:pt idx="99">
                  <c:v>-1220.9550048607432</c:v>
                </c:pt>
                <c:pt idx="100">
                  <c:v>-31.262075345979994</c:v>
                </c:pt>
                <c:pt idx="101">
                  <c:v>-10.381695785454815</c:v>
                </c:pt>
                <c:pt idx="102">
                  <c:v>-5.4111270599876278</c:v>
                </c:pt>
                <c:pt idx="103">
                  <c:v>-3.4199689198361063</c:v>
                </c:pt>
                <c:pt idx="104">
                  <c:v>-2.4077768901353496</c:v>
                </c:pt>
                <c:pt idx="105">
                  <c:v>-1.8185720458049783</c:v>
                </c:pt>
                <c:pt idx="106">
                  <c:v>-1.4451020877526606</c:v>
                </c:pt>
                <c:pt idx="107">
                  <c:v>-1.1948094657643169</c:v>
                </c:pt>
                <c:pt idx="108">
                  <c:v>-1.0209703617427117</c:v>
                </c:pt>
                <c:pt idx="109">
                  <c:v>-0.89785424482880183</c:v>
                </c:pt>
                <c:pt idx="110">
                  <c:v>-0.81039003188492587</c:v>
                </c:pt>
                <c:pt idx="111">
                  <c:v>-0.74939249830954813</c:v>
                </c:pt>
                <c:pt idx="112">
                  <c:v>-0.70918056481532821</c:v>
                </c:pt>
                <c:pt idx="113">
                  <c:v>-0.68632737604235361</c:v>
                </c:pt>
                <c:pt idx="114">
                  <c:v>-0.67899640729664468</c:v>
                </c:pt>
                <c:pt idx="115">
                  <c:v>-0.68661542571712186</c:v>
                </c:pt>
                <c:pt idx="116">
                  <c:v>-0.70977931555649443</c:v>
                </c:pt>
                <c:pt idx="117">
                  <c:v>-0.75035114320781171</c:v>
                </c:pt>
                <c:pt idx="118">
                  <c:v>-0.81179333091398431</c:v>
                </c:pt>
                <c:pt idx="119">
                  <c:v>-0.89983983135266843</c:v>
                </c:pt>
                <c:pt idx="120">
                  <c:v>-1.0237612248919903</c:v>
                </c:pt>
                <c:pt idx="121">
                  <c:v>-1.198776981378544</c:v>
                </c:pt>
                <c:pt idx="122">
                  <c:v>-1.4508962632355018</c:v>
                </c:pt>
                <c:pt idx="123">
                  <c:v>-1.8274153834482323</c:v>
                </c:pt>
                <c:pt idx="124">
                  <c:v>-2.4222103143791704</c:v>
                </c:pt>
                <c:pt idx="125">
                  <c:v>-3.4460770507195262</c:v>
                </c:pt>
                <c:pt idx="126">
                  <c:v>-5.4669344122487127</c:v>
                </c:pt>
                <c:pt idx="127">
                  <c:v>-10.543506545330356</c:v>
                </c:pt>
                <c:pt idx="128">
                  <c:v>-32.217005504456822</c:v>
                </c:pt>
                <c:pt idx="129">
                  <c:v>-1539.7497336368529</c:v>
                </c:pt>
                <c:pt idx="130">
                  <c:v>-39.501442368744762</c:v>
                </c:pt>
                <c:pt idx="131">
                  <c:v>-5.7343534647248893</c:v>
                </c:pt>
                <c:pt idx="132">
                  <c:v>-1.1799922411288155</c:v>
                </c:pt>
                <c:pt idx="133">
                  <c:v>0.12011673456370987</c:v>
                </c:pt>
                <c:pt idx="134">
                  <c:v>0.61922348946505601</c:v>
                </c:pt>
                <c:pt idx="135">
                  <c:v>0.84140446851694017</c:v>
                </c:pt>
                <c:pt idx="136">
                  <c:v>0.94586125432037516</c:v>
                </c:pt>
                <c:pt idx="137">
                  <c:v>0.99087762691256775</c:v>
                </c:pt>
                <c:pt idx="138">
                  <c:v>0.99922389925423527</c:v>
                </c:pt>
                <c:pt idx="139">
                  <c:v>0.97835469460575386</c:v>
                </c:pt>
                <c:pt idx="140">
                  <c:v>0.92740527008098594</c:v>
                </c:pt>
                <c:pt idx="141">
                  <c:v>0.8396161633114344</c:v>
                </c:pt>
                <c:pt idx="142">
                  <c:v>0.70312444774170091</c:v>
                </c:pt>
                <c:pt idx="143">
                  <c:v>0.50165592388980407</c:v>
                </c:pt>
                <c:pt idx="144">
                  <c:v>0.21667779656826999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C-41A0-B90B-1703CE5D7380}"/>
            </c:ext>
          </c:extLst>
        </c:ser>
        <c:ser>
          <c:idx val="2"/>
          <c:order val="2"/>
          <c:tx>
            <c:v>Reflected Flow</c:v>
          </c:tx>
          <c:marker>
            <c:symbol val="none"/>
          </c:marker>
          <c:cat>
            <c:strRef>
              <c:f>'DIAPASON COEFFICIENTS'!$A$3:$A$147</c:f>
              <c:strCache>
                <c:ptCount val="1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360/0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720/0</c:v>
                </c:pt>
              </c:strCache>
            </c:strRef>
          </c:cat>
          <c:val>
            <c:numRef>
              <c:f>'DIAPASON COEFFICIENTS'!$D$3:$D$147</c:f>
              <c:numCache>
                <c:formatCode>General</c:formatCode>
                <c:ptCount val="145"/>
                <c:pt idx="0">
                  <c:v>-0.88505491548927717</c:v>
                </c:pt>
                <c:pt idx="1">
                  <c:v>-1.0802024955791136</c:v>
                </c:pt>
                <c:pt idx="2">
                  <c:v>-1.2840316316788756</c:v>
                </c:pt>
                <c:pt idx="3">
                  <c:v>-1.4820070412458217</c:v>
                </c:pt>
                <c:pt idx="4">
                  <c:v>-1.6521797389618738</c:v>
                </c:pt>
                <c:pt idx="5">
                  <c:v>-1.7687163226136708</c:v>
                </c:pt>
                <c:pt idx="6">
                  <c:v>-1.8098723360202069</c:v>
                </c:pt>
                <c:pt idx="7">
                  <c:v>-1.7671394335900716</c:v>
                </c:pt>
                <c:pt idx="8">
                  <c:v>-1.6493432026500492</c:v>
                </c:pt>
                <c:pt idx="9">
                  <c:v>-1.4783979123452871</c:v>
                </c:pt>
                <c:pt idx="10">
                  <c:v>-1.2801254306140366</c:v>
                </c:pt>
                <c:pt idx="11">
                  <c:v>-1.0763510309715139</c:v>
                </c:pt>
                <c:pt idx="12">
                  <c:v>-0.88146166296192774</c:v>
                </c:pt>
                <c:pt idx="13">
                  <c:v>-0.70268179701481848</c:v>
                </c:pt>
                <c:pt idx="14">
                  <c:v>-0.54195016154787012</c:v>
                </c:pt>
                <c:pt idx="15">
                  <c:v>-0.39785838065330337</c:v>
                </c:pt>
                <c:pt idx="16">
                  <c:v>-0.26702680004813545</c:v>
                </c:pt>
                <c:pt idx="17">
                  <c:v>-0.14483157816710931</c:v>
                </c:pt>
                <c:pt idx="18">
                  <c:v>-2.5561125301669596E-2</c:v>
                </c:pt>
                <c:pt idx="19">
                  <c:v>9.7970930164133718E-2</c:v>
                </c:pt>
                <c:pt idx="20">
                  <c:v>0.23552226335641316</c:v>
                </c:pt>
                <c:pt idx="21">
                  <c:v>0.40182525750741449</c:v>
                </c:pt>
                <c:pt idx="22">
                  <c:v>0.62203784745971891</c:v>
                </c:pt>
                <c:pt idx="23">
                  <c:v>0.94572755014861842</c:v>
                </c:pt>
                <c:pt idx="24">
                  <c:v>1.4904680982915148</c:v>
                </c:pt>
                <c:pt idx="25">
                  <c:v>2.6284406013414037</c:v>
                </c:pt>
                <c:pt idx="26">
                  <c:v>6.5252385252656326</c:v>
                </c:pt>
                <c:pt idx="27">
                  <c:v>-34.956473003733414</c:v>
                </c:pt>
                <c:pt idx="28">
                  <c:v>-5.6799714212291592</c:v>
                </c:pt>
                <c:pt idx="29">
                  <c:v>-3.3736768940511799</c:v>
                </c:pt>
                <c:pt idx="30">
                  <c:v>-2.5320203514165573</c:v>
                </c:pt>
                <c:pt idx="31">
                  <c:v>-2.1023722124866722</c:v>
                </c:pt>
                <c:pt idx="32">
                  <c:v>-1.8460164923790223</c:v>
                </c:pt>
                <c:pt idx="33">
                  <c:v>-1.6788603413640393</c:v>
                </c:pt>
                <c:pt idx="34">
                  <c:v>-1.563682220834099</c:v>
                </c:pt>
                <c:pt idx="35">
                  <c:v>-1.4814889354174461</c:v>
                </c:pt>
                <c:pt idx="36">
                  <c:v>-1.4216083714380385</c:v>
                </c:pt>
                <c:pt idx="37">
                  <c:v>-1.3776263081216189</c:v>
                </c:pt>
                <c:pt idx="38">
                  <c:v>-1.3455073511077245</c:v>
                </c:pt>
                <c:pt idx="39">
                  <c:v>-1.3226460215452764</c:v>
                </c:pt>
                <c:pt idx="40">
                  <c:v>-1.3073563266437074</c:v>
                </c:pt>
                <c:pt idx="41">
                  <c:v>-1.2985866840693976</c:v>
                </c:pt>
                <c:pt idx="42">
                  <c:v>-1.2957609375562471</c:v>
                </c:pt>
                <c:pt idx="43">
                  <c:v>-1.2986975882464409</c:v>
                </c:pt>
                <c:pt idx="44">
                  <c:v>-1.3075852995336459</c:v>
                </c:pt>
                <c:pt idx="45">
                  <c:v>-1.3230083685327962</c:v>
                </c:pt>
                <c:pt idx="46">
                  <c:v>-1.3460287258873729</c:v>
                </c:pt>
                <c:pt idx="47">
                  <c:v>-1.3783467747097129</c:v>
                </c:pt>
                <c:pt idx="48">
                  <c:v>-1.4225896192830843</c:v>
                </c:pt>
                <c:pt idx="49">
                  <c:v>-1.4828273606116606</c:v>
                </c:pt>
                <c:pt idx="50">
                  <c:v>-1.5655338588594949</c:v>
                </c:pt>
                <c:pt idx="51">
                  <c:v>-1.6814920111163871</c:v>
                </c:pt>
                <c:pt idx="52">
                  <c:v>-1.8499217049321766</c:v>
                </c:pt>
                <c:pt idx="53">
                  <c:v>-2.108572277803046</c:v>
                </c:pt>
                <c:pt idx="54">
                  <c:v>-2.5430167935443748</c:v>
                </c:pt>
                <c:pt idx="55">
                  <c:v>-3.3975736261824196</c:v>
                </c:pt>
                <c:pt idx="56">
                  <c:v>-5.7634196016303392</c:v>
                </c:pt>
                <c:pt idx="57">
                  <c:v>-39.252385069405058</c:v>
                </c:pt>
                <c:pt idx="58">
                  <c:v>6.3640743528611265</c:v>
                </c:pt>
                <c:pt idx="59">
                  <c:v>2.5950632872292134</c:v>
                </c:pt>
                <c:pt idx="60">
                  <c:v>1.4764796785356769</c:v>
                </c:pt>
                <c:pt idx="61">
                  <c:v>0.93802093016962573</c:v>
                </c:pt>
                <c:pt idx="62">
                  <c:v>0.61707091207975751</c:v>
                </c:pt>
                <c:pt idx="63">
                  <c:v>0.39824054475035509</c:v>
                </c:pt>
                <c:pt idx="64">
                  <c:v>0.23267734242857574</c:v>
                </c:pt>
                <c:pt idx="65">
                  <c:v>9.551111499418477E-2</c:v>
                </c:pt>
                <c:pt idx="66">
                  <c:v>-2.785858477677439E-2</c:v>
                </c:pt>
                <c:pt idx="67">
                  <c:v>-0.14712343591096</c:v>
                </c:pt>
                <c:pt idx="68">
                  <c:v>-0.26943409197615287</c:v>
                </c:pt>
                <c:pt idx="69">
                  <c:v>-0.40047950845026459</c:v>
                </c:pt>
                <c:pt idx="70">
                  <c:v>-0.54486287472932038</c:v>
                </c:pt>
                <c:pt idx="71">
                  <c:v>-0.70593489509316376</c:v>
                </c:pt>
                <c:pt idx="72">
                  <c:v>-0.88505491548927617</c:v>
                </c:pt>
                <c:pt idx="73">
                  <c:v>-1.0802024955791136</c:v>
                </c:pt>
                <c:pt idx="74">
                  <c:v>-1.2840316316788756</c:v>
                </c:pt>
                <c:pt idx="75">
                  <c:v>-1.4820070412458217</c:v>
                </c:pt>
                <c:pt idx="76">
                  <c:v>-1.6521797389618738</c:v>
                </c:pt>
                <c:pt idx="77">
                  <c:v>-1.7687163226136708</c:v>
                </c:pt>
                <c:pt idx="78">
                  <c:v>-1.8098723360202069</c:v>
                </c:pt>
                <c:pt idx="79">
                  <c:v>-1.7671394335900716</c:v>
                </c:pt>
                <c:pt idx="80">
                  <c:v>-1.6493432026500492</c:v>
                </c:pt>
                <c:pt idx="81">
                  <c:v>-1.4783979123452871</c:v>
                </c:pt>
                <c:pt idx="82">
                  <c:v>-1.2801254306140366</c:v>
                </c:pt>
                <c:pt idx="83">
                  <c:v>-1.0763510309715139</c:v>
                </c:pt>
                <c:pt idx="84">
                  <c:v>-0.88146166296192774</c:v>
                </c:pt>
                <c:pt idx="85">
                  <c:v>-0.70268179701481848</c:v>
                </c:pt>
                <c:pt idx="86">
                  <c:v>-0.54195016154787012</c:v>
                </c:pt>
                <c:pt idx="87">
                  <c:v>-0.39785838065330337</c:v>
                </c:pt>
                <c:pt idx="88">
                  <c:v>-0.26702680004813545</c:v>
                </c:pt>
                <c:pt idx="89">
                  <c:v>-0.14483157816710931</c:v>
                </c:pt>
                <c:pt idx="90">
                  <c:v>-2.5561125301669596E-2</c:v>
                </c:pt>
                <c:pt idx="91">
                  <c:v>9.7970930164133718E-2</c:v>
                </c:pt>
                <c:pt idx="92">
                  <c:v>0.23552226335641316</c:v>
                </c:pt>
                <c:pt idx="93">
                  <c:v>0.40182525750741449</c:v>
                </c:pt>
                <c:pt idx="94">
                  <c:v>0.62203784745971891</c:v>
                </c:pt>
                <c:pt idx="95">
                  <c:v>0.94572755014861842</c:v>
                </c:pt>
                <c:pt idx="96">
                  <c:v>1.4904680982915148</c:v>
                </c:pt>
                <c:pt idx="97">
                  <c:v>2.6284406013414037</c:v>
                </c:pt>
                <c:pt idx="98">
                  <c:v>6.5252385252656326</c:v>
                </c:pt>
                <c:pt idx="99">
                  <c:v>-34.956473003733414</c:v>
                </c:pt>
                <c:pt idx="100">
                  <c:v>-5.6799714212291592</c:v>
                </c:pt>
                <c:pt idx="101">
                  <c:v>-3.3736768940511799</c:v>
                </c:pt>
                <c:pt idx="102">
                  <c:v>-2.5320203514165573</c:v>
                </c:pt>
                <c:pt idx="103">
                  <c:v>-2.1023722124866722</c:v>
                </c:pt>
                <c:pt idx="104">
                  <c:v>-1.8460164923790223</c:v>
                </c:pt>
                <c:pt idx="105">
                  <c:v>-1.6788603413640393</c:v>
                </c:pt>
                <c:pt idx="106">
                  <c:v>-1.563682220834099</c:v>
                </c:pt>
                <c:pt idx="107">
                  <c:v>-1.4814889354174461</c:v>
                </c:pt>
                <c:pt idx="108">
                  <c:v>-1.4216083714380385</c:v>
                </c:pt>
                <c:pt idx="109">
                  <c:v>-1.3776263081216189</c:v>
                </c:pt>
                <c:pt idx="110">
                  <c:v>-1.3455073511077245</c:v>
                </c:pt>
                <c:pt idx="111">
                  <c:v>-1.3226460215452764</c:v>
                </c:pt>
                <c:pt idx="112">
                  <c:v>-1.3073563266437074</c:v>
                </c:pt>
                <c:pt idx="113">
                  <c:v>-1.2985866840693976</c:v>
                </c:pt>
                <c:pt idx="114">
                  <c:v>-1.2957609375562471</c:v>
                </c:pt>
                <c:pt idx="115">
                  <c:v>-1.2986975882464409</c:v>
                </c:pt>
                <c:pt idx="116">
                  <c:v>-1.3075852995336459</c:v>
                </c:pt>
                <c:pt idx="117">
                  <c:v>-1.3230083685327962</c:v>
                </c:pt>
                <c:pt idx="118">
                  <c:v>-1.3460287258873729</c:v>
                </c:pt>
                <c:pt idx="119">
                  <c:v>-1.3783467747097129</c:v>
                </c:pt>
                <c:pt idx="120">
                  <c:v>-1.4225896192830843</c:v>
                </c:pt>
                <c:pt idx="121">
                  <c:v>-1.4828273606116606</c:v>
                </c:pt>
                <c:pt idx="122">
                  <c:v>-1.5655338588594949</c:v>
                </c:pt>
                <c:pt idx="123">
                  <c:v>-1.6814920111163871</c:v>
                </c:pt>
                <c:pt idx="124">
                  <c:v>-1.8499217049321766</c:v>
                </c:pt>
                <c:pt idx="125">
                  <c:v>-2.108572277803046</c:v>
                </c:pt>
                <c:pt idx="126">
                  <c:v>-2.5430167935443748</c:v>
                </c:pt>
                <c:pt idx="127">
                  <c:v>-3.3975736261824196</c:v>
                </c:pt>
                <c:pt idx="128">
                  <c:v>-5.7634196016303392</c:v>
                </c:pt>
                <c:pt idx="129">
                  <c:v>-39.252385069405058</c:v>
                </c:pt>
                <c:pt idx="130">
                  <c:v>6.3640743528611265</c:v>
                </c:pt>
                <c:pt idx="131">
                  <c:v>2.5950632872292134</c:v>
                </c:pt>
                <c:pt idx="132">
                  <c:v>1.4764796785356769</c:v>
                </c:pt>
                <c:pt idx="133">
                  <c:v>0.93802093016962573</c:v>
                </c:pt>
                <c:pt idx="134">
                  <c:v>0.61707091207975751</c:v>
                </c:pt>
                <c:pt idx="135">
                  <c:v>0.39824054475035509</c:v>
                </c:pt>
                <c:pt idx="136">
                  <c:v>0.23267734242857574</c:v>
                </c:pt>
                <c:pt idx="137">
                  <c:v>9.551111499418477E-2</c:v>
                </c:pt>
                <c:pt idx="138">
                  <c:v>-2.785858477677439E-2</c:v>
                </c:pt>
                <c:pt idx="139">
                  <c:v>-0.14712343591096</c:v>
                </c:pt>
                <c:pt idx="140">
                  <c:v>-0.26943409197615287</c:v>
                </c:pt>
                <c:pt idx="141">
                  <c:v>-0.40047950845026459</c:v>
                </c:pt>
                <c:pt idx="142">
                  <c:v>-0.54486287472932038</c:v>
                </c:pt>
                <c:pt idx="143">
                  <c:v>-0.70593489509316376</c:v>
                </c:pt>
                <c:pt idx="144">
                  <c:v>-0.88505491548927617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C-41A0-B90B-1703CE5D7380}"/>
            </c:ext>
          </c:extLst>
        </c:ser>
        <c:ser>
          <c:idx val="3"/>
          <c:order val="3"/>
          <c:tx>
            <c:v>Transmitted Flow</c:v>
          </c:tx>
          <c:marker>
            <c:symbol val="none"/>
          </c:marker>
          <c:cat>
            <c:strRef>
              <c:f>'DIAPASON COEFFICIENTS'!$A$3:$A$147</c:f>
              <c:strCache>
                <c:ptCount val="1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360/0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720/0</c:v>
                </c:pt>
              </c:strCache>
            </c:strRef>
          </c:cat>
          <c:val>
            <c:numRef>
              <c:f>'DIAPASON COEFFICIENTS'!$E$3:$E$147</c:f>
              <c:numCache>
                <c:formatCode>General</c:formatCode>
                <c:ptCount val="145"/>
                <c:pt idx="0">
                  <c:v>1.8850549154892771</c:v>
                </c:pt>
                <c:pt idx="1">
                  <c:v>2.0802024955791136</c:v>
                </c:pt>
                <c:pt idx="2">
                  <c:v>2.2840316316788756</c:v>
                </c:pt>
                <c:pt idx="3">
                  <c:v>2.4820070412458217</c:v>
                </c:pt>
                <c:pt idx="4">
                  <c:v>2.6521797389618738</c:v>
                </c:pt>
                <c:pt idx="5">
                  <c:v>2.7687163226136708</c:v>
                </c:pt>
                <c:pt idx="6">
                  <c:v>2.8098723360202071</c:v>
                </c:pt>
                <c:pt idx="7">
                  <c:v>2.7671394335900716</c:v>
                </c:pt>
                <c:pt idx="8">
                  <c:v>2.6493432026500492</c:v>
                </c:pt>
                <c:pt idx="9">
                  <c:v>2.4783979123452871</c:v>
                </c:pt>
                <c:pt idx="10">
                  <c:v>2.2801254306140364</c:v>
                </c:pt>
                <c:pt idx="11">
                  <c:v>2.0763510309715136</c:v>
                </c:pt>
                <c:pt idx="12">
                  <c:v>1.8814616629619278</c:v>
                </c:pt>
                <c:pt idx="13">
                  <c:v>1.7026817970148185</c:v>
                </c:pt>
                <c:pt idx="14">
                  <c:v>1.5419501615478701</c:v>
                </c:pt>
                <c:pt idx="15">
                  <c:v>1.3978583806533034</c:v>
                </c:pt>
                <c:pt idx="16">
                  <c:v>1.2670268000481355</c:v>
                </c:pt>
                <c:pt idx="17">
                  <c:v>1.1448315781671092</c:v>
                </c:pt>
                <c:pt idx="18">
                  <c:v>1.0255611253016697</c:v>
                </c:pt>
                <c:pt idx="19">
                  <c:v>0.90202906983586639</c:v>
                </c:pt>
                <c:pt idx="20">
                  <c:v>0.76447773664358687</c:v>
                </c:pt>
                <c:pt idx="21">
                  <c:v>0.59817474249258551</c:v>
                </c:pt>
                <c:pt idx="22">
                  <c:v>0.37796215254028109</c:v>
                </c:pt>
                <c:pt idx="23">
                  <c:v>5.4272449851381709E-2</c:v>
                </c:pt>
                <c:pt idx="24">
                  <c:v>-0.49046809829151461</c:v>
                </c:pt>
                <c:pt idx="25">
                  <c:v>-1.6284406013414037</c:v>
                </c:pt>
                <c:pt idx="26">
                  <c:v>-5.5252385252656326</c:v>
                </c:pt>
                <c:pt idx="27">
                  <c:v>35.956473003733414</c:v>
                </c:pt>
                <c:pt idx="28">
                  <c:v>6.6799714212291592</c:v>
                </c:pt>
                <c:pt idx="29">
                  <c:v>4.3736768940511794</c:v>
                </c:pt>
                <c:pt idx="30">
                  <c:v>3.5320203514165573</c:v>
                </c:pt>
                <c:pt idx="31">
                  <c:v>3.1023722124866722</c:v>
                </c:pt>
                <c:pt idx="32">
                  <c:v>2.8460164923790225</c:v>
                </c:pt>
                <c:pt idx="33">
                  <c:v>2.6788603413640391</c:v>
                </c:pt>
                <c:pt idx="34">
                  <c:v>2.563682220834099</c:v>
                </c:pt>
                <c:pt idx="35">
                  <c:v>2.4814889354174459</c:v>
                </c:pt>
                <c:pt idx="36">
                  <c:v>2.4216083714380385</c:v>
                </c:pt>
                <c:pt idx="37">
                  <c:v>2.3776263081216191</c:v>
                </c:pt>
                <c:pt idx="38">
                  <c:v>2.3455073511077247</c:v>
                </c:pt>
                <c:pt idx="39">
                  <c:v>2.3226460215452764</c:v>
                </c:pt>
                <c:pt idx="40">
                  <c:v>2.3073563266437076</c:v>
                </c:pt>
                <c:pt idx="41">
                  <c:v>2.2985866840693978</c:v>
                </c:pt>
                <c:pt idx="42">
                  <c:v>2.2957609375562469</c:v>
                </c:pt>
                <c:pt idx="43">
                  <c:v>2.2986975882464407</c:v>
                </c:pt>
                <c:pt idx="44">
                  <c:v>2.3075852995336459</c:v>
                </c:pt>
                <c:pt idx="45">
                  <c:v>2.3230083685327965</c:v>
                </c:pt>
                <c:pt idx="46">
                  <c:v>2.3460287258873729</c:v>
                </c:pt>
                <c:pt idx="47">
                  <c:v>2.3783467747097129</c:v>
                </c:pt>
                <c:pt idx="48">
                  <c:v>2.4225896192830843</c:v>
                </c:pt>
                <c:pt idx="49">
                  <c:v>2.4828273606116609</c:v>
                </c:pt>
                <c:pt idx="50">
                  <c:v>2.5655338588594949</c:v>
                </c:pt>
                <c:pt idx="51">
                  <c:v>2.6814920111163874</c:v>
                </c:pt>
                <c:pt idx="52">
                  <c:v>2.8499217049321763</c:v>
                </c:pt>
                <c:pt idx="53">
                  <c:v>3.108572277803046</c:v>
                </c:pt>
                <c:pt idx="54">
                  <c:v>3.5430167935443744</c:v>
                </c:pt>
                <c:pt idx="55">
                  <c:v>4.3975736261824192</c:v>
                </c:pt>
                <c:pt idx="56">
                  <c:v>6.7634196016303392</c:v>
                </c:pt>
                <c:pt idx="57">
                  <c:v>40.252385069405058</c:v>
                </c:pt>
                <c:pt idx="58">
                  <c:v>-5.3640743528611265</c:v>
                </c:pt>
                <c:pt idx="59">
                  <c:v>-1.5950632872292132</c:v>
                </c:pt>
                <c:pt idx="60">
                  <c:v>-0.47647967853567674</c:v>
                </c:pt>
                <c:pt idx="61">
                  <c:v>6.1979069830374128E-2</c:v>
                </c:pt>
                <c:pt idx="62">
                  <c:v>0.38292908792024238</c:v>
                </c:pt>
                <c:pt idx="63">
                  <c:v>0.60175945524964491</c:v>
                </c:pt>
                <c:pt idx="64">
                  <c:v>0.76732265757142426</c:v>
                </c:pt>
                <c:pt idx="65">
                  <c:v>0.90448888500581526</c:v>
                </c:pt>
                <c:pt idx="66">
                  <c:v>1.0278585847767743</c:v>
                </c:pt>
                <c:pt idx="67">
                  <c:v>1.1471234359109601</c:v>
                </c:pt>
                <c:pt idx="68">
                  <c:v>1.2694340919761529</c:v>
                </c:pt>
                <c:pt idx="69">
                  <c:v>1.4004795084502646</c:v>
                </c:pt>
                <c:pt idx="70">
                  <c:v>1.5448628747293203</c:v>
                </c:pt>
                <c:pt idx="71">
                  <c:v>1.7059348950931637</c:v>
                </c:pt>
                <c:pt idx="72">
                  <c:v>1.8850549154892762</c:v>
                </c:pt>
                <c:pt idx="73">
                  <c:v>2.0802024955791136</c:v>
                </c:pt>
                <c:pt idx="74">
                  <c:v>2.2840316316788756</c:v>
                </c:pt>
                <c:pt idx="75">
                  <c:v>2.4820070412458217</c:v>
                </c:pt>
                <c:pt idx="76">
                  <c:v>2.6521797389618738</c:v>
                </c:pt>
                <c:pt idx="77">
                  <c:v>2.7687163226136708</c:v>
                </c:pt>
                <c:pt idx="78">
                  <c:v>2.8098723360202071</c:v>
                </c:pt>
                <c:pt idx="79">
                  <c:v>2.7671394335900716</c:v>
                </c:pt>
                <c:pt idx="80">
                  <c:v>2.6493432026500492</c:v>
                </c:pt>
                <c:pt idx="81">
                  <c:v>2.4783979123452871</c:v>
                </c:pt>
                <c:pt idx="82">
                  <c:v>2.2801254306140364</c:v>
                </c:pt>
                <c:pt idx="83">
                  <c:v>2.0763510309715136</c:v>
                </c:pt>
                <c:pt idx="84">
                  <c:v>1.8814616629619278</c:v>
                </c:pt>
                <c:pt idx="85">
                  <c:v>1.7026817970148185</c:v>
                </c:pt>
                <c:pt idx="86">
                  <c:v>1.5419501615478701</c:v>
                </c:pt>
                <c:pt idx="87">
                  <c:v>1.3978583806533034</c:v>
                </c:pt>
                <c:pt idx="88">
                  <c:v>1.2670268000481355</c:v>
                </c:pt>
                <c:pt idx="89">
                  <c:v>1.1448315781671092</c:v>
                </c:pt>
                <c:pt idx="90">
                  <c:v>1.0255611253016697</c:v>
                </c:pt>
                <c:pt idx="91">
                  <c:v>0.90202906983586639</c:v>
                </c:pt>
                <c:pt idx="92">
                  <c:v>0.76447773664358687</c:v>
                </c:pt>
                <c:pt idx="93">
                  <c:v>0.59817474249258551</c:v>
                </c:pt>
                <c:pt idx="94">
                  <c:v>0.37796215254028109</c:v>
                </c:pt>
                <c:pt idx="95">
                  <c:v>5.4272449851381709E-2</c:v>
                </c:pt>
                <c:pt idx="96">
                  <c:v>-0.49046809829151461</c:v>
                </c:pt>
                <c:pt idx="97">
                  <c:v>-1.6284406013414037</c:v>
                </c:pt>
                <c:pt idx="98">
                  <c:v>-5.5252385252656326</c:v>
                </c:pt>
                <c:pt idx="99">
                  <c:v>35.956473003733414</c:v>
                </c:pt>
                <c:pt idx="100">
                  <c:v>6.6799714212291592</c:v>
                </c:pt>
                <c:pt idx="101">
                  <c:v>4.3736768940511794</c:v>
                </c:pt>
                <c:pt idx="102">
                  <c:v>3.5320203514165573</c:v>
                </c:pt>
                <c:pt idx="103">
                  <c:v>3.1023722124866722</c:v>
                </c:pt>
                <c:pt idx="104">
                  <c:v>2.8460164923790225</c:v>
                </c:pt>
                <c:pt idx="105">
                  <c:v>2.6788603413640391</c:v>
                </c:pt>
                <c:pt idx="106">
                  <c:v>2.563682220834099</c:v>
                </c:pt>
                <c:pt idx="107">
                  <c:v>2.4814889354174459</c:v>
                </c:pt>
                <c:pt idx="108">
                  <c:v>2.4216083714380385</c:v>
                </c:pt>
                <c:pt idx="109">
                  <c:v>2.3776263081216191</c:v>
                </c:pt>
                <c:pt idx="110">
                  <c:v>2.3455073511077247</c:v>
                </c:pt>
                <c:pt idx="111">
                  <c:v>2.3226460215452764</c:v>
                </c:pt>
                <c:pt idx="112">
                  <c:v>2.3073563266437076</c:v>
                </c:pt>
                <c:pt idx="113">
                  <c:v>2.2985866840693978</c:v>
                </c:pt>
                <c:pt idx="114">
                  <c:v>2.2957609375562469</c:v>
                </c:pt>
                <c:pt idx="115">
                  <c:v>2.2986975882464407</c:v>
                </c:pt>
                <c:pt idx="116">
                  <c:v>2.3075852995336459</c:v>
                </c:pt>
                <c:pt idx="117">
                  <c:v>2.3230083685327965</c:v>
                </c:pt>
                <c:pt idx="118">
                  <c:v>2.3460287258873729</c:v>
                </c:pt>
                <c:pt idx="119">
                  <c:v>2.3783467747097129</c:v>
                </c:pt>
                <c:pt idx="120">
                  <c:v>2.4225896192830843</c:v>
                </c:pt>
                <c:pt idx="121">
                  <c:v>2.4828273606116609</c:v>
                </c:pt>
                <c:pt idx="122">
                  <c:v>2.5655338588594949</c:v>
                </c:pt>
                <c:pt idx="123">
                  <c:v>2.6814920111163874</c:v>
                </c:pt>
                <c:pt idx="124">
                  <c:v>2.8499217049321763</c:v>
                </c:pt>
                <c:pt idx="125">
                  <c:v>3.108572277803046</c:v>
                </c:pt>
                <c:pt idx="126">
                  <c:v>3.5430167935443744</c:v>
                </c:pt>
                <c:pt idx="127">
                  <c:v>4.3975736261824192</c:v>
                </c:pt>
                <c:pt idx="128">
                  <c:v>6.7634196016303392</c:v>
                </c:pt>
                <c:pt idx="129">
                  <c:v>40.252385069405058</c:v>
                </c:pt>
                <c:pt idx="130">
                  <c:v>-5.3640743528611265</c:v>
                </c:pt>
                <c:pt idx="131">
                  <c:v>-1.5950632872292132</c:v>
                </c:pt>
                <c:pt idx="132">
                  <c:v>-0.47647967853567674</c:v>
                </c:pt>
                <c:pt idx="133">
                  <c:v>6.1979069830374128E-2</c:v>
                </c:pt>
                <c:pt idx="134">
                  <c:v>0.38292908792024238</c:v>
                </c:pt>
                <c:pt idx="135">
                  <c:v>0.60175945524964491</c:v>
                </c:pt>
                <c:pt idx="136">
                  <c:v>0.76732265757142426</c:v>
                </c:pt>
                <c:pt idx="137">
                  <c:v>0.90448888500581526</c:v>
                </c:pt>
                <c:pt idx="138">
                  <c:v>1.0278585847767743</c:v>
                </c:pt>
                <c:pt idx="139">
                  <c:v>1.1471234359109601</c:v>
                </c:pt>
                <c:pt idx="140">
                  <c:v>1.2694340919761529</c:v>
                </c:pt>
                <c:pt idx="141">
                  <c:v>1.4004795084502646</c:v>
                </c:pt>
                <c:pt idx="142">
                  <c:v>1.5448628747293203</c:v>
                </c:pt>
                <c:pt idx="143">
                  <c:v>1.7059348950931637</c:v>
                </c:pt>
                <c:pt idx="144">
                  <c:v>1.8850549154892762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FC-41A0-B90B-1703CE5D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76512"/>
        <c:axId val="38578048"/>
      </c:lineChart>
      <c:catAx>
        <c:axId val="385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578048"/>
        <c:crosses val="autoZero"/>
        <c:auto val="1"/>
        <c:lblAlgn val="ctr"/>
        <c:lblOffset val="100"/>
        <c:noMultiLvlLbl val="0"/>
      </c:catAx>
      <c:valAx>
        <c:axId val="38578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576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664217105538295E-2"/>
          <c:y val="2.5925323257535007E-2"/>
          <c:w val="0.82113372295483533"/>
          <c:h val="0.94814935348493345"/>
        </c:manualLayout>
      </c:layout>
      <c:lineChart>
        <c:grouping val="standard"/>
        <c:varyColors val="0"/>
        <c:ser>
          <c:idx val="0"/>
          <c:order val="0"/>
          <c:tx>
            <c:v>Z load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'DIAPASON COEFFICIENTS'!$A$3:$A$147</c:f>
              <c:strCache>
                <c:ptCount val="1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360/0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720/0</c:v>
                </c:pt>
              </c:strCache>
            </c:strRef>
          </c:cat>
          <c:val>
            <c:numRef>
              <c:f>'DIAPASON COEFFICIENTS'!$F$3:$F$147</c:f>
              <c:numCache>
                <c:formatCode>0</c:formatCode>
                <c:ptCount val="145"/>
                <c:pt idx="0">
                  <c:v>128382.1021151411</c:v>
                </c:pt>
                <c:pt idx="1">
                  <c:v>139135.24488553492</c:v>
                </c:pt>
                <c:pt idx="2">
                  <c:v>148722.39270885146</c:v>
                </c:pt>
                <c:pt idx="3">
                  <c:v>156711.85783348663</c:v>
                </c:pt>
                <c:pt idx="4">
                  <c:v>162719.90721055775</c:v>
                </c:pt>
                <c:pt idx="5">
                  <c:v>166444.13696393781</c:v>
                </c:pt>
                <c:pt idx="6">
                  <c:v>167691.28966038828</c:v>
                </c:pt>
                <c:pt idx="7">
                  <c:v>166395.67113350934</c:v>
                </c:pt>
                <c:pt idx="8">
                  <c:v>162625.51866080976</c:v>
                </c:pt>
                <c:pt idx="9">
                  <c:v>156576.3873459106</c:v>
                </c:pt>
                <c:pt idx="10">
                  <c:v>148552.5236450641</c:v>
                </c:pt>
                <c:pt idx="11">
                  <c:v>138938.90289373268</c:v>
                </c:pt>
                <c:pt idx="12">
                  <c:v>128167.79029219285</c:v>
                </c:pt>
                <c:pt idx="13">
                  <c:v>116684.14338507033</c:v>
                </c:pt>
                <c:pt idx="14">
                  <c:v>104913.88356034194</c:v>
                </c:pt>
                <c:pt idx="15">
                  <c:v>93238.163252457132</c:v>
                </c:pt>
                <c:pt idx="16">
                  <c:v>81975.493941519759</c:v>
                </c:pt>
                <c:pt idx="17">
                  <c:v>71372.263092364272</c:v>
                </c:pt>
                <c:pt idx="18">
                  <c:v>61601.005165484799</c:v>
                </c:pt>
                <c:pt idx="19">
                  <c:v>52764.966900033607</c:v>
                </c:pt>
                <c:pt idx="20">
                  <c:v>44907.081857649471</c:v>
                </c:pt>
                <c:pt idx="21">
                  <c:v>38021.414505872672</c:v>
                </c:pt>
                <c:pt idx="22">
                  <c:v>32065.359967674998</c:v>
                </c:pt>
                <c:pt idx="23">
                  <c:v>26971.276996697517</c:v>
                </c:pt>
                <c:pt idx="24">
                  <c:v>22656.679350868355</c:v>
                </c:pt>
                <c:pt idx="25">
                  <c:v>19032.53028577839</c:v>
                </c:pt>
                <c:pt idx="26">
                  <c:v>16009.524884708042</c:v>
                </c:pt>
                <c:pt idx="27">
                  <c:v>13502.484714551372</c:v>
                </c:pt>
                <c:pt idx="28">
                  <c:v>11433.131490615297</c:v>
                </c:pt>
                <c:pt idx="29">
                  <c:v>9731.567741020328</c:v>
                </c:pt>
                <c:pt idx="30">
                  <c:v>8336.7952993844301</c:v>
                </c:pt>
                <c:pt idx="31">
                  <c:v>7196.5689439982025</c:v>
                </c:pt>
                <c:pt idx="32">
                  <c:v>6266.8310148126557</c:v>
                </c:pt>
                <c:pt idx="33">
                  <c:v>5510.9166857067394</c:v>
                </c:pt>
                <c:pt idx="34">
                  <c:v>4898.6671295515343</c:v>
                </c:pt>
                <c:pt idx="35">
                  <c:v>4405.5434420344118</c:v>
                </c:pt>
                <c:pt idx="36">
                  <c:v>4011.7993672468829</c:v>
                </c:pt>
                <c:pt idx="37">
                  <c:v>3701.7452799617272</c:v>
                </c:pt>
                <c:pt idx="38">
                  <c:v>3463.1182745938581</c:v>
                </c:pt>
                <c:pt idx="39">
                  <c:v>3286.5619944254909</c:v>
                </c:pt>
                <c:pt idx="40">
                  <c:v>3165.2134324590515</c:v>
                </c:pt>
                <c:pt idx="41">
                  <c:v>3094.3909796170124</c:v>
                </c:pt>
                <c:pt idx="42">
                  <c:v>3071.3773927937664</c:v>
                </c:pt>
                <c:pt idx="43">
                  <c:v>3095.2922784757866</c:v>
                </c:pt>
                <c:pt idx="44">
                  <c:v>3167.0505359345257</c:v>
                </c:pt>
                <c:pt idx="45">
                  <c:v>3289.4055403993166</c:v>
                </c:pt>
                <c:pt idx="46">
                  <c:v>3467.0783329264618</c:v>
                </c:pt>
                <c:pt idx="47">
                  <c:v>3706.9764141241149</c:v>
                </c:pt>
                <c:pt idx="48">
                  <c:v>4018.5075739947483</c:v>
                </c:pt>
                <c:pt idx="49">
                  <c:v>4413.995090418146</c:v>
                </c:pt>
                <c:pt idx="50">
                  <c:v>4909.199989104558</c:v>
                </c:pt>
                <c:pt idx="51">
                  <c:v>5523.9530473888281</c:v>
                </c:pt>
                <c:pt idx="52">
                  <c:v>6282.8927435164078</c:v>
                </c:pt>
                <c:pt idx="53">
                  <c:v>7216.2940295842936</c:v>
                </c:pt>
                <c:pt idx="54">
                  <c:v>8360.9550631152324</c:v>
                </c:pt>
                <c:pt idx="55">
                  <c:v>9761.083277226875</c:v>
                </c:pt>
                <c:pt idx="56">
                  <c:v>11469.087162331731</c:v>
                </c:pt>
                <c:pt idx="57">
                  <c:v>13546.135585034484</c:v>
                </c:pt>
                <c:pt idx="58">
                  <c:v>16062.293906900179</c:v>
                </c:pt>
                <c:pt idx="59">
                  <c:v>19095.990007978206</c:v>
                </c:pt>
                <c:pt idx="60">
                  <c:v>22732.512035644275</c:v>
                </c:pt>
                <c:pt idx="61">
                  <c:v>27061.206697051839</c:v>
                </c:pt>
                <c:pt idx="62">
                  <c:v>32171.050655182513</c:v>
                </c:pt>
                <c:pt idx="63">
                  <c:v>38144.330241403295</c:v>
                </c:pt>
                <c:pt idx="64">
                  <c:v>45048.308633038359</c:v>
                </c:pt>
                <c:pt idx="65">
                  <c:v>52925.001370575344</c:v>
                </c:pt>
                <c:pt idx="66">
                  <c:v>61779.5228904537</c:v>
                </c:pt>
                <c:pt idx="67">
                  <c:v>71567.887425143519</c:v>
                </c:pt>
                <c:pt idx="68">
                  <c:v>82185.595050187418</c:v>
                </c:pt>
                <c:pt idx="69">
                  <c:v>93458.723004682295</c:v>
                </c:pt>
                <c:pt idx="70">
                  <c:v>105139.46394200058</c:v>
                </c:pt>
                <c:pt idx="71">
                  <c:v>116907.99167185351</c:v>
                </c:pt>
                <c:pt idx="72">
                  <c:v>128382.10211514104</c:v>
                </c:pt>
                <c:pt idx="73">
                  <c:v>139135.24488553492</c:v>
                </c:pt>
                <c:pt idx="74">
                  <c:v>148722.39270885146</c:v>
                </c:pt>
                <c:pt idx="75">
                  <c:v>156711.85783348663</c:v>
                </c:pt>
                <c:pt idx="76">
                  <c:v>162719.90721055775</c:v>
                </c:pt>
                <c:pt idx="77">
                  <c:v>166444.13696393781</c:v>
                </c:pt>
                <c:pt idx="78">
                  <c:v>167691.28966038828</c:v>
                </c:pt>
                <c:pt idx="79">
                  <c:v>166395.67113350934</c:v>
                </c:pt>
                <c:pt idx="80">
                  <c:v>162625.51866080976</c:v>
                </c:pt>
                <c:pt idx="81">
                  <c:v>156576.3873459106</c:v>
                </c:pt>
                <c:pt idx="82">
                  <c:v>148552.5236450641</c:v>
                </c:pt>
                <c:pt idx="83">
                  <c:v>138938.90289373268</c:v>
                </c:pt>
                <c:pt idx="84">
                  <c:v>128167.79029219285</c:v>
                </c:pt>
                <c:pt idx="85">
                  <c:v>116684.14338507033</c:v>
                </c:pt>
                <c:pt idx="86">
                  <c:v>104913.88356034194</c:v>
                </c:pt>
                <c:pt idx="87">
                  <c:v>93238.163252457132</c:v>
                </c:pt>
                <c:pt idx="88">
                  <c:v>81975.493941519759</c:v>
                </c:pt>
                <c:pt idx="89">
                  <c:v>71372.263092364272</c:v>
                </c:pt>
                <c:pt idx="90">
                  <c:v>61601.005165484799</c:v>
                </c:pt>
                <c:pt idx="91">
                  <c:v>52764.966900033607</c:v>
                </c:pt>
                <c:pt idx="92">
                  <c:v>44907.081857649471</c:v>
                </c:pt>
                <c:pt idx="93">
                  <c:v>38021.414505872672</c:v>
                </c:pt>
                <c:pt idx="94">
                  <c:v>32065.359967674998</c:v>
                </c:pt>
                <c:pt idx="95">
                  <c:v>26971.276996697517</c:v>
                </c:pt>
                <c:pt idx="96">
                  <c:v>22656.679350868355</c:v>
                </c:pt>
                <c:pt idx="97">
                  <c:v>19032.53028577839</c:v>
                </c:pt>
                <c:pt idx="98">
                  <c:v>16009.524884708042</c:v>
                </c:pt>
                <c:pt idx="99">
                  <c:v>13502.484714551372</c:v>
                </c:pt>
                <c:pt idx="100">
                  <c:v>11433.131490615297</c:v>
                </c:pt>
                <c:pt idx="101">
                  <c:v>9731.567741020328</c:v>
                </c:pt>
                <c:pt idx="102">
                  <c:v>8336.7952993844301</c:v>
                </c:pt>
                <c:pt idx="103">
                  <c:v>7196.5689439982025</c:v>
                </c:pt>
                <c:pt idx="104">
                  <c:v>6266.8310148126557</c:v>
                </c:pt>
                <c:pt idx="105">
                  <c:v>5510.9166857067394</c:v>
                </c:pt>
                <c:pt idx="106">
                  <c:v>4898.6671295515343</c:v>
                </c:pt>
                <c:pt idx="107">
                  <c:v>4405.5434420344118</c:v>
                </c:pt>
                <c:pt idx="108">
                  <c:v>4011.7993672468829</c:v>
                </c:pt>
                <c:pt idx="109">
                  <c:v>3701.7452799617272</c:v>
                </c:pt>
                <c:pt idx="110">
                  <c:v>3463.1182745938581</c:v>
                </c:pt>
                <c:pt idx="111">
                  <c:v>3286.5619944254909</c:v>
                </c:pt>
                <c:pt idx="112">
                  <c:v>3165.2134324590515</c:v>
                </c:pt>
                <c:pt idx="113">
                  <c:v>3094.3909796170124</c:v>
                </c:pt>
                <c:pt idx="114">
                  <c:v>3071.3773927937664</c:v>
                </c:pt>
                <c:pt idx="115">
                  <c:v>3095.2922784757866</c:v>
                </c:pt>
                <c:pt idx="116">
                  <c:v>3167.0505359345257</c:v>
                </c:pt>
                <c:pt idx="117">
                  <c:v>3289.4055403993166</c:v>
                </c:pt>
                <c:pt idx="118">
                  <c:v>3467.0783329264618</c:v>
                </c:pt>
                <c:pt idx="119">
                  <c:v>3706.9764141241149</c:v>
                </c:pt>
                <c:pt idx="120">
                  <c:v>4018.5075739947483</c:v>
                </c:pt>
                <c:pt idx="121">
                  <c:v>4413.995090418146</c:v>
                </c:pt>
                <c:pt idx="122">
                  <c:v>4909.199989104558</c:v>
                </c:pt>
                <c:pt idx="123">
                  <c:v>5523.9530473888281</c:v>
                </c:pt>
                <c:pt idx="124">
                  <c:v>6282.8927435164078</c:v>
                </c:pt>
                <c:pt idx="125">
                  <c:v>7216.2940295842936</c:v>
                </c:pt>
                <c:pt idx="126">
                  <c:v>8360.9550631152324</c:v>
                </c:pt>
                <c:pt idx="127">
                  <c:v>9761.083277226875</c:v>
                </c:pt>
                <c:pt idx="128">
                  <c:v>11469.087162331731</c:v>
                </c:pt>
                <c:pt idx="129">
                  <c:v>13546.135585034484</c:v>
                </c:pt>
                <c:pt idx="130">
                  <c:v>16062.293906900179</c:v>
                </c:pt>
                <c:pt idx="131">
                  <c:v>19095.990007978206</c:v>
                </c:pt>
                <c:pt idx="132">
                  <c:v>22732.512035644275</c:v>
                </c:pt>
                <c:pt idx="133">
                  <c:v>27061.206697051839</c:v>
                </c:pt>
                <c:pt idx="134">
                  <c:v>32171.050655182513</c:v>
                </c:pt>
                <c:pt idx="135">
                  <c:v>38144.330241403295</c:v>
                </c:pt>
                <c:pt idx="136">
                  <c:v>45048.308633038359</c:v>
                </c:pt>
                <c:pt idx="137">
                  <c:v>52925.001370575344</c:v>
                </c:pt>
                <c:pt idx="138">
                  <c:v>61779.5228904537</c:v>
                </c:pt>
                <c:pt idx="139">
                  <c:v>71567.887425143519</c:v>
                </c:pt>
                <c:pt idx="140">
                  <c:v>82185.595050187418</c:v>
                </c:pt>
                <c:pt idx="141">
                  <c:v>93458.723004682295</c:v>
                </c:pt>
                <c:pt idx="142">
                  <c:v>105139.46394200058</c:v>
                </c:pt>
                <c:pt idx="143">
                  <c:v>116907.99167185351</c:v>
                </c:pt>
                <c:pt idx="144">
                  <c:v>128382.10211514104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6-43F2-B755-655983E9A817}"/>
            </c:ext>
          </c:extLst>
        </c:ser>
        <c:ser>
          <c:idx val="1"/>
          <c:order val="1"/>
          <c:tx>
            <c:v>Z input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'DIAPASON COEFFICIENTS'!$A$3:$A$147</c:f>
              <c:strCache>
                <c:ptCount val="14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360/0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720/0</c:v>
                </c:pt>
              </c:strCache>
            </c:strRef>
          </c:cat>
          <c:val>
            <c:numRef>
              <c:f>'DIAPASON COEFFICIENTS'!$G$3:$G$147</c:f>
              <c:numCache>
                <c:formatCode>0</c:formatCode>
                <c:ptCount val="145"/>
                <c:pt idx="0">
                  <c:v>2105416.8056261423</c:v>
                </c:pt>
                <c:pt idx="1">
                  <c:v>-3608734.1365631297</c:v>
                </c:pt>
                <c:pt idx="2">
                  <c:v>-1195946.5474959221</c:v>
                </c:pt>
                <c:pt idx="3">
                  <c:v>-806959.03027495404</c:v>
                </c:pt>
                <c:pt idx="4">
                  <c:v>-661723.16502280405</c:v>
                </c:pt>
                <c:pt idx="5">
                  <c:v>-599488.5047432509</c:v>
                </c:pt>
                <c:pt idx="6">
                  <c:v>-581809.12577376852</c:v>
                </c:pt>
                <c:pt idx="7">
                  <c:v>-600203.8260729789</c:v>
                </c:pt>
                <c:pt idx="8">
                  <c:v>-663517.86032886768</c:v>
                </c:pt>
                <c:pt idx="9">
                  <c:v>-811162.80298603745</c:v>
                </c:pt>
                <c:pt idx="10">
                  <c:v>-1209166.8585837816</c:v>
                </c:pt>
                <c:pt idx="11">
                  <c:v>-3778415.7017222964</c:v>
                </c:pt>
                <c:pt idx="12">
                  <c:v>2034302.0653635</c:v>
                </c:pt>
                <c:pt idx="13">
                  <c:v>668226.71786405367</c:v>
                </c:pt>
                <c:pt idx="14">
                  <c:v>353175.49778241059</c:v>
                </c:pt>
                <c:pt idx="15">
                  <c:v>216450.32283364798</c:v>
                </c:pt>
                <c:pt idx="16">
                  <c:v>141703.881912613</c:v>
                </c:pt>
                <c:pt idx="17">
                  <c:v>95547.518485611712</c:v>
                </c:pt>
                <c:pt idx="18">
                  <c:v>64832.795383688521</c:v>
                </c:pt>
                <c:pt idx="19">
                  <c:v>43348.628552162685</c:v>
                </c:pt>
                <c:pt idx="20">
                  <c:v>27786.196425584589</c:v>
                </c:pt>
                <c:pt idx="21">
                  <c:v>16224.168960755043</c:v>
                </c:pt>
                <c:pt idx="22">
                  <c:v>7471.7692280373076</c:v>
                </c:pt>
                <c:pt idx="23">
                  <c:v>752.31358990583419</c:v>
                </c:pt>
                <c:pt idx="24">
                  <c:v>-4461.9637739765585</c:v>
                </c:pt>
                <c:pt idx="25">
                  <c:v>-8541.7810207953971</c:v>
                </c:pt>
                <c:pt idx="26">
                  <c:v>-11754.63652975243</c:v>
                </c:pt>
                <c:pt idx="27">
                  <c:v>-14297.766645808886</c:v>
                </c:pt>
                <c:pt idx="28">
                  <c:v>-16319.114955707684</c:v>
                </c:pt>
                <c:pt idx="29">
                  <c:v>-17931.140113662299</c:v>
                </c:pt>
                <c:pt idx="30">
                  <c:v>-19220.195499226356</c:v>
                </c:pt>
                <c:pt idx="31">
                  <c:v>-20253.082637797805</c:v>
                </c:pt>
                <c:pt idx="32">
                  <c:v>-21081.745549611256</c:v>
                </c:pt>
                <c:pt idx="33">
                  <c:v>-21746.705845620287</c:v>
                </c:pt>
                <c:pt idx="34">
                  <c:v>-22279.620257016915</c:v>
                </c:pt>
                <c:pt idx="35">
                  <c:v>-22705.209822591434</c:v>
                </c:pt>
                <c:pt idx="36">
                  <c:v>-23042.727778669458</c:v>
                </c:pt>
                <c:pt idx="37">
                  <c:v>-23307.081033049868</c:v>
                </c:pt>
                <c:pt idx="38">
                  <c:v>-23509.686102981988</c:v>
                </c:pt>
                <c:pt idx="39">
                  <c:v>-23659.117519423908</c:v>
                </c:pt>
                <c:pt idx="40">
                  <c:v>-23761.590718866562</c:v>
                </c:pt>
                <c:pt idx="41">
                  <c:v>-23821.309792230986</c:v>
                </c:pt>
                <c:pt idx="42">
                  <c:v>-23840.701551496491</c:v>
                </c:pt>
                <c:pt idx="43">
                  <c:v>-23820.550200022928</c:v>
                </c:pt>
                <c:pt idx="44">
                  <c:v>-23760.040777902126</c:v>
                </c:pt>
                <c:pt idx="45">
                  <c:v>-23656.714011946417</c:v>
                </c:pt>
                <c:pt idx="46">
                  <c:v>-23506.329837467412</c:v>
                </c:pt>
                <c:pt idx="47">
                  <c:v>-23302.631310182347</c:v>
                </c:pt>
                <c:pt idx="48">
                  <c:v>-23036.994496660176</c:v>
                </c:pt>
                <c:pt idx="49">
                  <c:v>-22697.942730942741</c:v>
                </c:pt>
                <c:pt idx="50">
                  <c:v>-22270.49467446567</c:v>
                </c:pt>
                <c:pt idx="51">
                  <c:v>-21735.303898999711</c:v>
                </c:pt>
                <c:pt idx="52">
                  <c:v>-21067.531627442266</c:v>
                </c:pt>
                <c:pt idx="53">
                  <c:v>-20235.371222972983</c:v>
                </c:pt>
                <c:pt idx="54">
                  <c:v>-19198.108745558009</c:v>
                </c:pt>
                <c:pt idx="55">
                  <c:v>-17903.551287912444</c:v>
                </c:pt>
                <c:pt idx="56">
                  <c:v>-16284.57188612398</c:v>
                </c:pt>
                <c:pt idx="57">
                  <c:v>-14254.386093359986</c:v>
                </c:pt>
                <c:pt idx="58">
                  <c:v>-11699.955033811648</c:v>
                </c:pt>
                <c:pt idx="59">
                  <c:v>-8472.5386346390369</c:v>
                </c:pt>
                <c:pt idx="60">
                  <c:v>-4373.7811058707393</c:v>
                </c:pt>
                <c:pt idx="61">
                  <c:v>865.4335943750433</c:v>
                </c:pt>
                <c:pt idx="62">
                  <c:v>7618.2380084871284</c:v>
                </c:pt>
                <c:pt idx="63">
                  <c:v>16416.139177989298</c:v>
                </c:pt>
                <c:pt idx="64">
                  <c:v>28041.878202530195</c:v>
                </c:pt>
                <c:pt idx="65">
                  <c:v>43696.567586954188</c:v>
                </c:pt>
                <c:pt idx="66">
                  <c:v>65320.345344802437</c:v>
                </c:pt>
                <c:pt idx="67">
                  <c:v>96259.182607166236</c:v>
                </c:pt>
                <c:pt idx="68">
                  <c:v>142806.00159438176</c:v>
                </c:pt>
                <c:pt idx="69">
                  <c:v>218319.52084848579</c:v>
                </c:pt>
                <c:pt idx="70">
                  <c:v>356872.78733050078</c:v>
                </c:pt>
                <c:pt idx="71">
                  <c:v>678208.39392508077</c:v>
                </c:pt>
                <c:pt idx="72">
                  <c:v>2105416.8056261241</c:v>
                </c:pt>
                <c:pt idx="73">
                  <c:v>-3608734.1365631297</c:v>
                </c:pt>
                <c:pt idx="74">
                  <c:v>-1195946.5474959221</c:v>
                </c:pt>
                <c:pt idx="75">
                  <c:v>-806959.03027495404</c:v>
                </c:pt>
                <c:pt idx="76">
                  <c:v>-661723.16502280405</c:v>
                </c:pt>
                <c:pt idx="77">
                  <c:v>-599488.5047432509</c:v>
                </c:pt>
                <c:pt idx="78">
                  <c:v>-581809.12577376852</c:v>
                </c:pt>
                <c:pt idx="79">
                  <c:v>-600203.8260729789</c:v>
                </c:pt>
                <c:pt idx="80">
                  <c:v>-663517.86032886768</c:v>
                </c:pt>
                <c:pt idx="81">
                  <c:v>-811162.80298603745</c:v>
                </c:pt>
                <c:pt idx="82">
                  <c:v>-1209166.8585837816</c:v>
                </c:pt>
                <c:pt idx="83">
                  <c:v>-3778415.7017222964</c:v>
                </c:pt>
                <c:pt idx="84">
                  <c:v>2034302.0653635</c:v>
                </c:pt>
                <c:pt idx="85">
                  <c:v>668226.71786405367</c:v>
                </c:pt>
                <c:pt idx="86">
                  <c:v>353175.49778241059</c:v>
                </c:pt>
                <c:pt idx="87">
                  <c:v>216450.32283364798</c:v>
                </c:pt>
                <c:pt idx="88">
                  <c:v>141703.881912613</c:v>
                </c:pt>
                <c:pt idx="89">
                  <c:v>95547.518485611712</c:v>
                </c:pt>
                <c:pt idx="90">
                  <c:v>64832.795383688521</c:v>
                </c:pt>
                <c:pt idx="91">
                  <c:v>43348.628552162685</c:v>
                </c:pt>
                <c:pt idx="92">
                  <c:v>27786.196425584589</c:v>
                </c:pt>
                <c:pt idx="93">
                  <c:v>16224.168960755043</c:v>
                </c:pt>
                <c:pt idx="94">
                  <c:v>7471.7692280373076</c:v>
                </c:pt>
                <c:pt idx="95">
                  <c:v>752.31358990583419</c:v>
                </c:pt>
                <c:pt idx="96">
                  <c:v>-4461.9637739765585</c:v>
                </c:pt>
                <c:pt idx="97">
                  <c:v>-8541.7810207953971</c:v>
                </c:pt>
                <c:pt idx="98">
                  <c:v>-11754.63652975243</c:v>
                </c:pt>
                <c:pt idx="99">
                  <c:v>-14297.766645808886</c:v>
                </c:pt>
                <c:pt idx="100">
                  <c:v>-16319.114955707684</c:v>
                </c:pt>
                <c:pt idx="101">
                  <c:v>-17931.140113662299</c:v>
                </c:pt>
                <c:pt idx="102">
                  <c:v>-19220.195499226356</c:v>
                </c:pt>
                <c:pt idx="103">
                  <c:v>-20253.082637797805</c:v>
                </c:pt>
                <c:pt idx="104">
                  <c:v>-21081.745549611256</c:v>
                </c:pt>
                <c:pt idx="105">
                  <c:v>-21746.705845620287</c:v>
                </c:pt>
                <c:pt idx="106">
                  <c:v>-22279.620257016915</c:v>
                </c:pt>
                <c:pt idx="107">
                  <c:v>-22705.209822591434</c:v>
                </c:pt>
                <c:pt idx="108">
                  <c:v>-23042.727778669458</c:v>
                </c:pt>
                <c:pt idx="109">
                  <c:v>-23307.081033049868</c:v>
                </c:pt>
                <c:pt idx="110">
                  <c:v>-23509.686102981988</c:v>
                </c:pt>
                <c:pt idx="111">
                  <c:v>-23659.117519423908</c:v>
                </c:pt>
                <c:pt idx="112">
                  <c:v>-23761.590718866562</c:v>
                </c:pt>
                <c:pt idx="113">
                  <c:v>-23821.309792230986</c:v>
                </c:pt>
                <c:pt idx="114">
                  <c:v>-23840.701551496491</c:v>
                </c:pt>
                <c:pt idx="115">
                  <c:v>-23820.550200022928</c:v>
                </c:pt>
                <c:pt idx="116">
                  <c:v>-23760.040777902126</c:v>
                </c:pt>
                <c:pt idx="117">
                  <c:v>-23656.714011946417</c:v>
                </c:pt>
                <c:pt idx="118">
                  <c:v>-23506.329837467412</c:v>
                </c:pt>
                <c:pt idx="119">
                  <c:v>-23302.631310182347</c:v>
                </c:pt>
                <c:pt idx="120">
                  <c:v>-23036.994496660176</c:v>
                </c:pt>
                <c:pt idx="121">
                  <c:v>-22697.942730942741</c:v>
                </c:pt>
                <c:pt idx="122">
                  <c:v>-22270.49467446567</c:v>
                </c:pt>
                <c:pt idx="123">
                  <c:v>-21735.303898999711</c:v>
                </c:pt>
                <c:pt idx="124">
                  <c:v>-21067.531627442266</c:v>
                </c:pt>
                <c:pt idx="125">
                  <c:v>-20235.371222972983</c:v>
                </c:pt>
                <c:pt idx="126">
                  <c:v>-19198.108745558009</c:v>
                </c:pt>
                <c:pt idx="127">
                  <c:v>-17903.551287912444</c:v>
                </c:pt>
                <c:pt idx="128">
                  <c:v>-16284.57188612398</c:v>
                </c:pt>
                <c:pt idx="129">
                  <c:v>-14254.386093359986</c:v>
                </c:pt>
                <c:pt idx="130">
                  <c:v>-11699.955033811648</c:v>
                </c:pt>
                <c:pt idx="131">
                  <c:v>-8472.5386346390369</c:v>
                </c:pt>
                <c:pt idx="132">
                  <c:v>-4373.7811058707393</c:v>
                </c:pt>
                <c:pt idx="133">
                  <c:v>865.4335943750433</c:v>
                </c:pt>
                <c:pt idx="134">
                  <c:v>7618.2380084871284</c:v>
                </c:pt>
                <c:pt idx="135">
                  <c:v>16416.139177989298</c:v>
                </c:pt>
                <c:pt idx="136">
                  <c:v>28041.878202530195</c:v>
                </c:pt>
                <c:pt idx="137">
                  <c:v>43696.567586954188</c:v>
                </c:pt>
                <c:pt idx="138">
                  <c:v>65320.345344802437</c:v>
                </c:pt>
                <c:pt idx="139">
                  <c:v>96259.182607166236</c:v>
                </c:pt>
                <c:pt idx="140">
                  <c:v>142806.00159438176</c:v>
                </c:pt>
                <c:pt idx="141">
                  <c:v>218319.52084848579</c:v>
                </c:pt>
                <c:pt idx="142">
                  <c:v>356872.78733050078</c:v>
                </c:pt>
                <c:pt idx="143">
                  <c:v>678208.39392508077</c:v>
                </c:pt>
                <c:pt idx="144">
                  <c:v>2105416.8056261241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6-43F2-B755-655983E9A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381824"/>
        <c:axId val="80383360"/>
      </c:lineChart>
      <c:catAx>
        <c:axId val="803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383360"/>
        <c:crosses val="autoZero"/>
        <c:auto val="1"/>
        <c:lblAlgn val="ctr"/>
        <c:lblOffset val="100"/>
        <c:noMultiLvlLbl val="0"/>
      </c:catAx>
      <c:valAx>
        <c:axId val="80383360"/>
        <c:scaling>
          <c:orientation val="minMax"/>
          <c:max val="3000000"/>
          <c:min val="-50000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0381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619126</xdr:colOff>
      <xdr:row>71</xdr:row>
      <xdr:rowOff>164306</xdr:rowOff>
    </xdr:from>
    <xdr:to>
      <xdr:col>7</xdr:col>
      <xdr:colOff>47625</xdr:colOff>
      <xdr:row>96</xdr:row>
      <xdr:rowOff>45243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352426</xdr:colOff>
      <xdr:row>96</xdr:row>
      <xdr:rowOff>99392</xdr:rowOff>
    </xdr:from>
    <xdr:to>
      <xdr:col>6</xdr:col>
      <xdr:colOff>2809874</xdr:colOff>
      <xdr:row>119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333375</xdr:colOff>
      <xdr:row>92</xdr:row>
      <xdr:rowOff>161925</xdr:rowOff>
    </xdr:from>
    <xdr:to>
      <xdr:col>3</xdr:col>
      <xdr:colOff>342900</xdr:colOff>
      <xdr:row>115</xdr:row>
      <xdr:rowOff>161925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295900" y="27003375"/>
          <a:ext cx="9525" cy="438150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1285875</xdr:colOff>
      <xdr:row>79</xdr:row>
      <xdr:rowOff>66675</xdr:rowOff>
    </xdr:from>
    <xdr:to>
      <xdr:col>5</xdr:col>
      <xdr:colOff>1295401</xdr:colOff>
      <xdr:row>115</xdr:row>
      <xdr:rowOff>180975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981950" y="24431625"/>
          <a:ext cx="9526" cy="697230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2609850</xdr:colOff>
      <xdr:row>79</xdr:row>
      <xdr:rowOff>114300</xdr:rowOff>
    </xdr:from>
    <xdr:to>
      <xdr:col>0</xdr:col>
      <xdr:colOff>2657475</xdr:colOff>
      <xdr:row>116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609850" y="24479250"/>
          <a:ext cx="47625" cy="694372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79</xdr:row>
      <xdr:rowOff>95250</xdr:rowOff>
    </xdr:from>
    <xdr:to>
      <xdr:col>3</xdr:col>
      <xdr:colOff>628650</xdr:colOff>
      <xdr:row>115</xdr:row>
      <xdr:rowOff>161925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562600" y="24460200"/>
          <a:ext cx="28575" cy="69246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1428750</xdr:colOff>
      <xdr:row>79</xdr:row>
      <xdr:rowOff>85725</xdr:rowOff>
    </xdr:from>
    <xdr:to>
      <xdr:col>0</xdr:col>
      <xdr:colOff>1447800</xdr:colOff>
      <xdr:row>116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1428750" y="24450675"/>
          <a:ext cx="19050" cy="69627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92</xdr:row>
      <xdr:rowOff>180975</xdr:rowOff>
    </xdr:from>
    <xdr:to>
      <xdr:col>6</xdr:col>
      <xdr:colOff>314325</xdr:colOff>
      <xdr:row>115</xdr:row>
      <xdr:rowOff>171450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0629900" y="27022425"/>
          <a:ext cx="28575" cy="43719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92</xdr:row>
      <xdr:rowOff>142875</xdr:rowOff>
    </xdr:from>
    <xdr:to>
      <xdr:col>1</xdr:col>
      <xdr:colOff>9525</xdr:colOff>
      <xdr:row>116</xdr:row>
      <xdr:rowOff>9525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943225" y="26984325"/>
          <a:ext cx="9525" cy="44386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581025</xdr:colOff>
      <xdr:row>79</xdr:row>
      <xdr:rowOff>76200</xdr:rowOff>
    </xdr:from>
    <xdr:to>
      <xdr:col>6</xdr:col>
      <xdr:colOff>619125</xdr:colOff>
      <xdr:row>115</xdr:row>
      <xdr:rowOff>180975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0925175" y="24441150"/>
          <a:ext cx="38100" cy="69627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38101</xdr:colOff>
      <xdr:row>79</xdr:row>
      <xdr:rowOff>95250</xdr:rowOff>
    </xdr:from>
    <xdr:to>
      <xdr:col>5</xdr:col>
      <xdr:colOff>57150</xdr:colOff>
      <xdr:row>116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6734176" y="24460200"/>
          <a:ext cx="19049" cy="69532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2913821</xdr:colOff>
      <xdr:row>111</xdr:row>
      <xdr:rowOff>51766</xdr:rowOff>
    </xdr:from>
    <xdr:to>
      <xdr:col>3</xdr:col>
      <xdr:colOff>609600</xdr:colOff>
      <xdr:row>111</xdr:row>
      <xdr:rowOff>57150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2913821" y="30512716"/>
          <a:ext cx="2658304" cy="5384"/>
        </a:xfrm>
        <a:prstGeom prst="straightConnector1">
          <a:avLst/>
        </a:prstGeom>
        <a:ln w="25400">
          <a:solidFill>
            <a:srgbClr val="0070C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2352675</xdr:colOff>
      <xdr:row>109</xdr:row>
      <xdr:rowOff>55080</xdr:rowOff>
    </xdr:from>
    <xdr:to>
      <xdr:col>0</xdr:col>
      <xdr:colOff>2639667</xdr:colOff>
      <xdr:row>109</xdr:row>
      <xdr:rowOff>57150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2352675" y="30135030"/>
          <a:ext cx="286992" cy="207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16980</xdr:colOff>
      <xdr:row>109</xdr:row>
      <xdr:rowOff>56322</xdr:rowOff>
    </xdr:from>
    <xdr:to>
      <xdr:col>1</xdr:col>
      <xdr:colOff>295275</xdr:colOff>
      <xdr:row>109</xdr:row>
      <xdr:rowOff>57150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H="1" flipV="1">
          <a:off x="2960205" y="30136272"/>
          <a:ext cx="278295" cy="82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79</xdr:row>
      <xdr:rowOff>85725</xdr:rowOff>
    </xdr:from>
    <xdr:to>
      <xdr:col>2</xdr:col>
      <xdr:colOff>57150</xdr:colOff>
      <xdr:row>115</xdr:row>
      <xdr:rowOff>180975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4086225" y="24450675"/>
          <a:ext cx="19050" cy="69532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1581150</xdr:colOff>
      <xdr:row>92</xdr:row>
      <xdr:rowOff>152400</xdr:rowOff>
    </xdr:from>
    <xdr:to>
      <xdr:col>5</xdr:col>
      <xdr:colOff>1590676</xdr:colOff>
      <xdr:row>116</xdr:row>
      <xdr:rowOff>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8277225" y="26993850"/>
          <a:ext cx="9526" cy="441960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2752725</xdr:colOff>
      <xdr:row>79</xdr:row>
      <xdr:rowOff>76200</xdr:rowOff>
    </xdr:from>
    <xdr:to>
      <xdr:col>5</xdr:col>
      <xdr:colOff>2752726</xdr:colOff>
      <xdr:row>115</xdr:row>
      <xdr:rowOff>171450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9448800" y="24441150"/>
          <a:ext cx="1" cy="69532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2644223</xdr:colOff>
      <xdr:row>112</xdr:row>
      <xdr:rowOff>13666</xdr:rowOff>
    </xdr:from>
    <xdr:to>
      <xdr:col>3</xdr:col>
      <xdr:colOff>352425</xdr:colOff>
      <xdr:row>112</xdr:row>
      <xdr:rowOff>28575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2644223" y="30665116"/>
          <a:ext cx="2670727" cy="14909"/>
        </a:xfrm>
        <a:prstGeom prst="straightConnector1">
          <a:avLst/>
        </a:prstGeom>
        <a:ln w="25400">
          <a:solidFill>
            <a:srgbClr val="0070C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2924175</xdr:colOff>
      <xdr:row>103</xdr:row>
      <xdr:rowOff>0</xdr:rowOff>
    </xdr:from>
    <xdr:to>
      <xdr:col>3</xdr:col>
      <xdr:colOff>333375</xdr:colOff>
      <xdr:row>103</xdr:row>
      <xdr:rowOff>9525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2924175" y="28936950"/>
          <a:ext cx="2371725" cy="9525"/>
        </a:xfrm>
        <a:prstGeom prst="straightConnector1">
          <a:avLst/>
        </a:prstGeom>
        <a:ln w="25400">
          <a:solidFill>
            <a:srgbClr val="00B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112</xdr:row>
      <xdr:rowOff>9525</xdr:rowOff>
    </xdr:from>
    <xdr:to>
      <xdr:col>5</xdr:col>
      <xdr:colOff>1276350</xdr:colOff>
      <xdr:row>112</xdr:row>
      <xdr:rowOff>19051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5276850" y="30660975"/>
          <a:ext cx="2695575" cy="9526"/>
        </a:xfrm>
        <a:prstGeom prst="straightConnector1">
          <a:avLst/>
        </a:prstGeom>
        <a:ln w="25400">
          <a:solidFill>
            <a:srgbClr val="0070C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612085</xdr:colOff>
      <xdr:row>111</xdr:row>
      <xdr:rowOff>28575</xdr:rowOff>
    </xdr:from>
    <xdr:to>
      <xdr:col>5</xdr:col>
      <xdr:colOff>1600200</xdr:colOff>
      <xdr:row>111</xdr:row>
      <xdr:rowOff>46384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5574610" y="30489525"/>
          <a:ext cx="2721665" cy="17809"/>
        </a:xfrm>
        <a:prstGeom prst="straightConnector1">
          <a:avLst/>
        </a:prstGeom>
        <a:ln w="25400">
          <a:solidFill>
            <a:srgbClr val="0070C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1297885</xdr:colOff>
      <xdr:row>112</xdr:row>
      <xdr:rowOff>12010</xdr:rowOff>
    </xdr:from>
    <xdr:to>
      <xdr:col>6</xdr:col>
      <xdr:colOff>288235</xdr:colOff>
      <xdr:row>112</xdr:row>
      <xdr:rowOff>21535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7993960" y="30663460"/>
          <a:ext cx="2638425" cy="9525"/>
        </a:xfrm>
        <a:prstGeom prst="straightConnector1">
          <a:avLst/>
        </a:prstGeom>
        <a:ln w="25400">
          <a:solidFill>
            <a:srgbClr val="0070C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1619250</xdr:colOff>
      <xdr:row>103</xdr:row>
      <xdr:rowOff>19050</xdr:rowOff>
    </xdr:from>
    <xdr:to>
      <xdr:col>6</xdr:col>
      <xdr:colOff>285750</xdr:colOff>
      <xdr:row>103</xdr:row>
      <xdr:rowOff>28576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 flipV="1">
          <a:off x="8315325" y="28956000"/>
          <a:ext cx="2314575" cy="9526"/>
        </a:xfrm>
        <a:prstGeom prst="straightConnector1">
          <a:avLst/>
        </a:prstGeom>
        <a:ln w="25400">
          <a:solidFill>
            <a:srgbClr val="00B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1593987</xdr:colOff>
      <xdr:row>111</xdr:row>
      <xdr:rowOff>23605</xdr:rowOff>
    </xdr:from>
    <xdr:to>
      <xdr:col>6</xdr:col>
      <xdr:colOff>266700</xdr:colOff>
      <xdr:row>111</xdr:row>
      <xdr:rowOff>28575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8290062" y="30484555"/>
          <a:ext cx="2320788" cy="4970"/>
        </a:xfrm>
        <a:prstGeom prst="straightConnector1">
          <a:avLst/>
        </a:prstGeom>
        <a:ln w="25400">
          <a:solidFill>
            <a:srgbClr val="0070C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628236</xdr:colOff>
      <xdr:row>103</xdr:row>
      <xdr:rowOff>10353</xdr:rowOff>
    </xdr:from>
    <xdr:to>
      <xdr:col>5</xdr:col>
      <xdr:colOff>1266825</xdr:colOff>
      <xdr:row>103</xdr:row>
      <xdr:rowOff>19050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5590761" y="28947303"/>
          <a:ext cx="2372139" cy="8697"/>
        </a:xfrm>
        <a:prstGeom prst="straightConnector1">
          <a:avLst/>
        </a:prstGeom>
        <a:ln w="25400">
          <a:solidFill>
            <a:srgbClr val="00B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636105</xdr:colOff>
      <xdr:row>109</xdr:row>
      <xdr:rowOff>65847</xdr:rowOff>
    </xdr:from>
    <xdr:to>
      <xdr:col>3</xdr:col>
      <xdr:colOff>914400</xdr:colOff>
      <xdr:row>109</xdr:row>
      <xdr:rowOff>66675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 flipH="1" flipV="1">
          <a:off x="5598630" y="30145797"/>
          <a:ext cx="278295" cy="82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607530</xdr:colOff>
      <xdr:row>109</xdr:row>
      <xdr:rowOff>46797</xdr:rowOff>
    </xdr:from>
    <xdr:to>
      <xdr:col>6</xdr:col>
      <xdr:colOff>885825</xdr:colOff>
      <xdr:row>109</xdr:row>
      <xdr:rowOff>47625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 flipH="1" flipV="1">
          <a:off x="10951680" y="30126747"/>
          <a:ext cx="278295" cy="82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1607655</xdr:colOff>
      <xdr:row>109</xdr:row>
      <xdr:rowOff>56322</xdr:rowOff>
    </xdr:from>
    <xdr:to>
      <xdr:col>5</xdr:col>
      <xdr:colOff>1885950</xdr:colOff>
      <xdr:row>109</xdr:row>
      <xdr:rowOff>57150</xdr:rowOff>
    </xdr:to>
    <xdr:cxnSp macro="">
      <xdr:nvCxnSpPr>
        <xdr:cNvPr id="82" name="Straight Arrow Connector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 flipH="1" flipV="1">
          <a:off x="8303730" y="30136272"/>
          <a:ext cx="278295" cy="82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109</xdr:row>
      <xdr:rowOff>55080</xdr:rowOff>
    </xdr:from>
    <xdr:to>
      <xdr:col>6</xdr:col>
      <xdr:colOff>286992</xdr:colOff>
      <xdr:row>109</xdr:row>
      <xdr:rowOff>57150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 flipV="1">
          <a:off x="10344150" y="30135030"/>
          <a:ext cx="286992" cy="207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981075</xdr:colOff>
      <xdr:row>109</xdr:row>
      <xdr:rowOff>55080</xdr:rowOff>
    </xdr:from>
    <xdr:to>
      <xdr:col>5</xdr:col>
      <xdr:colOff>1268067</xdr:colOff>
      <xdr:row>109</xdr:row>
      <xdr:rowOff>57150</xdr:rowOff>
    </xdr:to>
    <xdr:cxnSp macro="">
      <xdr:nvCxnSpPr>
        <xdr:cNvPr id="85" name="Straight Arrow Connector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 flipV="1">
          <a:off x="7677150" y="30135030"/>
          <a:ext cx="286992" cy="207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109</xdr:row>
      <xdr:rowOff>55080</xdr:rowOff>
    </xdr:from>
    <xdr:to>
      <xdr:col>3</xdr:col>
      <xdr:colOff>334617</xdr:colOff>
      <xdr:row>109</xdr:row>
      <xdr:rowOff>57150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/>
      </xdr:nvCxnSpPr>
      <xdr:spPr>
        <a:xfrm flipV="1">
          <a:off x="5010150" y="30135030"/>
          <a:ext cx="286992" cy="207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771525</xdr:colOff>
      <xdr:row>73</xdr:row>
      <xdr:rowOff>180975</xdr:rowOff>
    </xdr:from>
    <xdr:to>
      <xdr:col>7</xdr:col>
      <xdr:colOff>9525</xdr:colOff>
      <xdr:row>77</xdr:row>
      <xdr:rowOff>38100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1115675" y="23402925"/>
          <a:ext cx="20764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100"/>
            <a:t>Pipe Length 156°  1140mm   I  End Correction 23.3°  170mm  Half Wavelength</a:t>
          </a:r>
          <a:r>
            <a:rPr lang="en-US" sz="1100" baseline="0"/>
            <a:t>  180° 1310mm</a:t>
          </a:r>
          <a:endParaRPr lang="en-US" sz="1100"/>
        </a:p>
      </xdr:txBody>
    </xdr:sp>
    <xdr:clientData/>
  </xdr:twoCellAnchor>
  <xdr:twoCellAnchor>
    <xdr:from>
      <xdr:col>6</xdr:col>
      <xdr:colOff>540855</xdr:colOff>
      <xdr:row>74</xdr:row>
      <xdr:rowOff>122997</xdr:rowOff>
    </xdr:from>
    <xdr:to>
      <xdr:col>6</xdr:col>
      <xdr:colOff>819150</xdr:colOff>
      <xdr:row>74</xdr:row>
      <xdr:rowOff>123825</xdr:rowOff>
    </xdr:to>
    <xdr:cxnSp macro="">
      <xdr:nvCxnSpPr>
        <xdr:cNvPr id="127" name="Straight Arrow Connector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>
        <a:xfrm flipH="1" flipV="1">
          <a:off x="10885005" y="23535447"/>
          <a:ext cx="278295" cy="828"/>
        </a:xfrm>
        <a:prstGeom prst="straightConnector1">
          <a:avLst/>
        </a:prstGeom>
        <a:ln w="2540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569430</xdr:colOff>
      <xdr:row>75</xdr:row>
      <xdr:rowOff>113472</xdr:rowOff>
    </xdr:from>
    <xdr:to>
      <xdr:col>6</xdr:col>
      <xdr:colOff>847725</xdr:colOff>
      <xdr:row>75</xdr:row>
      <xdr:rowOff>114300</xdr:rowOff>
    </xdr:to>
    <xdr:cxnSp macro="">
      <xdr:nvCxnSpPr>
        <xdr:cNvPr id="128" name="Straight Arrow Connector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/>
      </xdr:nvCxnSpPr>
      <xdr:spPr>
        <a:xfrm flipH="1" flipV="1">
          <a:off x="10913580" y="23716422"/>
          <a:ext cx="278295" cy="82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569430</xdr:colOff>
      <xdr:row>76</xdr:row>
      <xdr:rowOff>84897</xdr:rowOff>
    </xdr:from>
    <xdr:to>
      <xdr:col>6</xdr:col>
      <xdr:colOff>847725</xdr:colOff>
      <xdr:row>76</xdr:row>
      <xdr:rowOff>85725</xdr:rowOff>
    </xdr:to>
    <xdr:cxnSp macro="">
      <xdr:nvCxnSpPr>
        <xdr:cNvPr id="129" name="Straight Arrow Connector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/>
      </xdr:nvCxnSpPr>
      <xdr:spPr>
        <a:xfrm flipH="1" flipV="1">
          <a:off x="10913580" y="23878347"/>
          <a:ext cx="278295" cy="828"/>
        </a:xfrm>
        <a:prstGeom prst="straightConnector1">
          <a:avLst/>
        </a:prstGeom>
        <a:ln w="2540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74</xdr:row>
      <xdr:rowOff>152399</xdr:rowOff>
    </xdr:from>
    <xdr:to>
      <xdr:col>2</xdr:col>
      <xdr:colOff>723900</xdr:colOff>
      <xdr:row>78</xdr:row>
      <xdr:rowOff>57150</xdr:rowOff>
    </xdr:to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3371850" y="23669624"/>
          <a:ext cx="1400175" cy="666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100"/>
            <a:t>Incident wave running left to right Transmitted Flow</a:t>
          </a:r>
        </a:p>
        <a:p>
          <a:pPr algn="ctr"/>
          <a:endParaRPr lang="en-US" sz="1100"/>
        </a:p>
      </xdr:txBody>
    </xdr:sp>
    <xdr:clientData/>
  </xdr:twoCellAnchor>
  <xdr:twoCellAnchor>
    <xdr:from>
      <xdr:col>1</xdr:col>
      <xdr:colOff>495300</xdr:colOff>
      <xdr:row>88</xdr:row>
      <xdr:rowOff>66676</xdr:rowOff>
    </xdr:from>
    <xdr:to>
      <xdr:col>2</xdr:col>
      <xdr:colOff>714375</xdr:colOff>
      <xdr:row>91</xdr:row>
      <xdr:rowOff>161926</xdr:rowOff>
    </xdr:to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3438525" y="26250901"/>
          <a:ext cx="132397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100"/>
            <a:t>Reflected wave running right</a:t>
          </a:r>
          <a:r>
            <a:rPr lang="en-US" sz="1100" baseline="0"/>
            <a:t> to left  Transmitted Flow</a:t>
          </a:r>
          <a:endParaRPr lang="en-US" sz="1100"/>
        </a:p>
      </xdr:txBody>
    </xdr:sp>
    <xdr:clientData/>
  </xdr:twoCellAnchor>
  <xdr:twoCellAnchor>
    <xdr:from>
      <xdr:col>4</xdr:col>
      <xdr:colOff>228600</xdr:colOff>
      <xdr:row>88</xdr:row>
      <xdr:rowOff>104775</xdr:rowOff>
    </xdr:from>
    <xdr:to>
      <xdr:col>5</xdr:col>
      <xdr:colOff>771525</xdr:colOff>
      <xdr:row>92</xdr:row>
      <xdr:rowOff>0</xdr:rowOff>
    </xdr:to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143625" y="26289000"/>
          <a:ext cx="132397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100"/>
            <a:t>Reflected</a:t>
          </a:r>
          <a:r>
            <a:rPr lang="en-US" sz="1100" baseline="0"/>
            <a:t> wave running </a:t>
          </a:r>
          <a:r>
            <a:rPr lang="en-US" sz="1100"/>
            <a:t>right</a:t>
          </a:r>
          <a:r>
            <a:rPr lang="en-US" sz="1100" baseline="0"/>
            <a:t> to left  Reflected Flow</a:t>
          </a:r>
          <a:endParaRPr lang="en-US" sz="1100"/>
        </a:p>
      </xdr:txBody>
    </xdr:sp>
    <xdr:clientData/>
  </xdr:twoCellAnchor>
  <xdr:twoCellAnchor>
    <xdr:from>
      <xdr:col>5</xdr:col>
      <xdr:colOff>2095500</xdr:colOff>
      <xdr:row>88</xdr:row>
      <xdr:rowOff>152401</xdr:rowOff>
    </xdr:from>
    <xdr:to>
      <xdr:col>5</xdr:col>
      <xdr:colOff>3419475</xdr:colOff>
      <xdr:row>92</xdr:row>
      <xdr:rowOff>9525</xdr:rowOff>
    </xdr:to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791575" y="26336626"/>
          <a:ext cx="1323975" cy="619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100"/>
            <a:t>Reflected wave running</a:t>
          </a:r>
          <a:r>
            <a:rPr lang="en-US" sz="1100" baseline="0"/>
            <a:t> </a:t>
          </a:r>
          <a:r>
            <a:rPr lang="en-US" sz="1100"/>
            <a:t>right</a:t>
          </a:r>
          <a:r>
            <a:rPr lang="en-US" sz="1100" baseline="0"/>
            <a:t> to left  Transmitted Flow</a:t>
          </a:r>
          <a:endParaRPr lang="en-US" sz="1100"/>
        </a:p>
      </xdr:txBody>
    </xdr:sp>
    <xdr:clientData/>
  </xdr:twoCellAnchor>
  <xdr:twoCellAnchor>
    <xdr:from>
      <xdr:col>3</xdr:col>
      <xdr:colOff>857250</xdr:colOff>
      <xdr:row>73</xdr:row>
      <xdr:rowOff>1</xdr:rowOff>
    </xdr:from>
    <xdr:to>
      <xdr:col>5</xdr:col>
      <xdr:colOff>1219200</xdr:colOff>
      <xdr:row>74</xdr:row>
      <xdr:rowOff>95251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819775" y="23326726"/>
          <a:ext cx="209550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/>
            <a:t>DIAPASON GRAPH</a:t>
          </a:r>
          <a:r>
            <a:rPr lang="en-US" sz="1400" baseline="0"/>
            <a:t> ONE</a:t>
          </a:r>
          <a:endParaRPr lang="en-US" sz="1400"/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6</xdr:col>
      <xdr:colOff>2469356</xdr:colOff>
      <xdr:row>127</xdr:row>
      <xdr:rowOff>207168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23810</xdr:colOff>
      <xdr:row>128</xdr:row>
      <xdr:rowOff>35717</xdr:rowOff>
    </xdr:from>
    <xdr:to>
      <xdr:col>6</xdr:col>
      <xdr:colOff>2469355</xdr:colOff>
      <xdr:row>135</xdr:row>
      <xdr:rowOff>107157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133350</xdr:colOff>
      <xdr:row>75</xdr:row>
      <xdr:rowOff>85724</xdr:rowOff>
    </xdr:from>
    <xdr:to>
      <xdr:col>5</xdr:col>
      <xdr:colOff>790575</xdr:colOff>
      <xdr:row>78</xdr:row>
      <xdr:rowOff>152399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048375" y="23793449"/>
          <a:ext cx="143827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100"/>
            <a:t>Incident wave running left to right      Reflected</a:t>
          </a:r>
          <a:r>
            <a:rPr lang="en-US" sz="1100" baseline="0"/>
            <a:t> Flow</a:t>
          </a:r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0.64124</cdr:x>
      <cdr:y>0.12667</cdr:y>
    </cdr:from>
    <cdr:to>
      <cdr:x>0.75151</cdr:x>
      <cdr:y>0.27846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86725" y="588170"/>
          <a:ext cx="139065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Incident</a:t>
          </a:r>
          <a:r>
            <a:rPr lang="en-US" sz="1100" baseline="0"/>
            <a:t> wave running left to right  Transmitted Flow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422396</xdr:colOff>
      <xdr:row>48</xdr:row>
      <xdr:rowOff>109355</xdr:rowOff>
    </xdr:from>
    <xdr:to>
      <xdr:col>21</xdr:col>
      <xdr:colOff>498596</xdr:colOff>
      <xdr:row>66</xdr:row>
      <xdr:rowOff>166505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29" t="37143" r="1916" b="7820"/>
        <a:stretch>
          <a:fillRect/>
        </a:stretch>
      </xdr:blipFill>
      <xdr:spPr bwMode="auto">
        <a:xfrm>
          <a:off x="422396" y="9253355"/>
          <a:ext cx="13000892" cy="3486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371475</xdr:colOff>
      <xdr:row>0</xdr:row>
      <xdr:rowOff>0</xdr:rowOff>
    </xdr:from>
    <xdr:to>
      <xdr:col>21</xdr:col>
      <xdr:colOff>581025</xdr:colOff>
      <xdr:row>48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564" t="16308" r="2384" b="4139"/>
        <a:stretch>
          <a:fillRect/>
        </a:stretch>
      </xdr:blipFill>
      <xdr:spPr bwMode="auto">
        <a:xfrm>
          <a:off x="371475" y="0"/>
          <a:ext cx="13134242" cy="9153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10</xdr:row>
      <xdr:rowOff>38100</xdr:rowOff>
    </xdr:from>
    <xdr:to>
      <xdr:col>21</xdr:col>
      <xdr:colOff>447675</xdr:colOff>
      <xdr:row>67</xdr:row>
      <xdr:rowOff>28575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84" t="14167" r="45664" b="6736"/>
        <a:stretch>
          <a:fillRect/>
        </a:stretch>
      </xdr:blipFill>
      <xdr:spPr bwMode="auto">
        <a:xfrm>
          <a:off x="361950" y="1943100"/>
          <a:ext cx="12887325" cy="10848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201084</xdr:colOff>
      <xdr:row>11</xdr:row>
      <xdr:rowOff>52917</xdr:rowOff>
    </xdr:from>
    <xdr:to>
      <xdr:col>39</xdr:col>
      <xdr:colOff>603250</xdr:colOff>
      <xdr:row>53</xdr:row>
      <xdr:rowOff>42333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65" t="21916" r="2813" b="5828"/>
        <a:stretch>
          <a:fillRect/>
        </a:stretch>
      </xdr:blipFill>
      <xdr:spPr bwMode="auto">
        <a:xfrm>
          <a:off x="13705417" y="2148417"/>
          <a:ext cx="10837333" cy="79904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104775</xdr:rowOff>
    </xdr:from>
    <xdr:to>
      <xdr:col>22</xdr:col>
      <xdr:colOff>66675</xdr:colOff>
      <xdr:row>56</xdr:row>
      <xdr:rowOff>28575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6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1" t="17014" r="44297" b="7153"/>
        <a:stretch>
          <a:fillRect/>
        </a:stretch>
      </xdr:blipFill>
      <xdr:spPr bwMode="auto">
        <a:xfrm>
          <a:off x="295275" y="295275"/>
          <a:ext cx="13182600" cy="10401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142875</xdr:colOff>
      <xdr:row>1</xdr:row>
      <xdr:rowOff>95250</xdr:rowOff>
    </xdr:from>
    <xdr:to>
      <xdr:col>43</xdr:col>
      <xdr:colOff>552450</xdr:colOff>
      <xdr:row>56</xdr:row>
      <xdr:rowOff>114300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196" t="17500" r="2608" b="3786"/>
        <a:stretch>
          <a:fillRect/>
        </a:stretch>
      </xdr:blipFill>
      <xdr:spPr bwMode="auto">
        <a:xfrm>
          <a:off x="13554075" y="285750"/>
          <a:ext cx="13211175" cy="10496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%20J%20H/Documents/Organ%20Stuff/ATOS/Articles/Physics%20of%20End%20Correction/Physics%20of%20End%20Correction%20in%20Organ%20Pipes%20%20%20%20Final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ATIONS"/>
      <sheetName val="DIAPASON COEFICIENTS"/>
      <sheetName val="VIOLIN COEFFICIENTS"/>
      <sheetName val="VIOLIN GRAPHS"/>
      <sheetName val="STOPPED FLUTE COEFFICIENTS"/>
      <sheetName val="STOPPED FLUTE GRAPHS"/>
    </sheetNames>
    <sheetDataSet>
      <sheetData sheetId="0">
        <row r="17">
          <cell r="B17">
            <v>128382.1021151411</v>
          </cell>
        </row>
        <row r="22">
          <cell r="B22">
            <v>2105416.8056261423</v>
          </cell>
        </row>
        <row r="25">
          <cell r="B25">
            <v>0.78332220343173153</v>
          </cell>
        </row>
        <row r="26">
          <cell r="B26">
            <v>0.21667779656826844</v>
          </cell>
        </row>
        <row r="27">
          <cell r="B27">
            <v>-0.88505491548927717</v>
          </cell>
        </row>
        <row r="28">
          <cell r="B28">
            <v>1.8850549154892771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231"/>
  <sheetViews>
    <sheetView tabSelected="1" zoomScaleNormal="100" workbookViewId="0">
      <selection activeCell="A4" sqref="A4"/>
    </sheetView>
  </sheetViews>
  <sheetFormatPr defaultRowHeight="15.75" x14ac:dyDescent="0.25"/>
  <cols>
    <col min="1" max="1" width="44.140625" style="33" customWidth="1"/>
    <col min="2" max="2" width="16.5703125" style="33" customWidth="1"/>
    <col min="3" max="3" width="13.7109375" style="33" customWidth="1"/>
    <col min="4" max="4" width="14.28515625" style="33" customWidth="1"/>
    <col min="5" max="5" width="11.7109375" style="101" customWidth="1"/>
    <col min="6" max="6" width="54.7109375" style="33" customWidth="1"/>
    <col min="7" max="7" width="42.5703125" style="33" customWidth="1"/>
    <col min="8" max="8" width="9" style="22" customWidth="1"/>
    <col min="9" max="9" width="16.85546875" style="9" customWidth="1"/>
    <col min="10" max="10" width="19.5703125" style="9" customWidth="1"/>
    <col min="11" max="11" width="15.28515625" style="9" customWidth="1"/>
    <col min="12" max="12" width="17.7109375" style="9" customWidth="1"/>
    <col min="13" max="13" width="10.28515625" style="9" customWidth="1"/>
    <col min="14" max="14" width="9.85546875" style="9" customWidth="1"/>
    <col min="15" max="15" width="8.140625" customWidth="1"/>
    <col min="16" max="16" width="7.140625" style="21" customWidth="1"/>
  </cols>
  <sheetData>
    <row r="1" spans="1:63" ht="28.5" customHeight="1" x14ac:dyDescent="0.25">
      <c r="A1" s="112" t="s">
        <v>115</v>
      </c>
      <c r="B1" s="113"/>
      <c r="C1" s="113"/>
      <c r="D1" s="113"/>
      <c r="E1" s="113"/>
      <c r="F1" s="113"/>
      <c r="G1" s="113"/>
    </row>
    <row r="2" spans="1:63" ht="16.5" customHeight="1" x14ac:dyDescent="0.25">
      <c r="F2" s="115" t="s">
        <v>46</v>
      </c>
      <c r="G2" s="115"/>
      <c r="H2" s="17"/>
      <c r="I2" s="18"/>
      <c r="J2" s="18"/>
      <c r="K2" s="18"/>
      <c r="L2" s="18"/>
    </row>
    <row r="3" spans="1:63" ht="36.75" customHeight="1" x14ac:dyDescent="0.25">
      <c r="B3" s="115" t="s">
        <v>82</v>
      </c>
      <c r="C3" s="115"/>
      <c r="D3" s="115"/>
      <c r="E3" s="115"/>
      <c r="F3" s="6" t="s">
        <v>103</v>
      </c>
      <c r="G3" s="16" t="s">
        <v>104</v>
      </c>
      <c r="H3" s="20"/>
      <c r="I3" s="15"/>
      <c r="J3" s="17"/>
      <c r="K3" s="17"/>
      <c r="L3" s="11"/>
      <c r="M3" s="11"/>
      <c r="N3" s="11"/>
    </row>
    <row r="4" spans="1:63" x14ac:dyDescent="0.25">
      <c r="B4" s="34" t="s">
        <v>23</v>
      </c>
      <c r="C4" s="34" t="s">
        <v>35</v>
      </c>
      <c r="F4" s="4" t="s">
        <v>47</v>
      </c>
      <c r="G4" s="4" t="s">
        <v>48</v>
      </c>
      <c r="O4" s="23"/>
      <c r="P4" s="24"/>
    </row>
    <row r="5" spans="1:63" x14ac:dyDescent="0.25">
      <c r="B5" s="13">
        <v>1</v>
      </c>
      <c r="C5" s="35">
        <f>20*LOG10(B5/(2*10^-5))</f>
        <v>93.979400086720375</v>
      </c>
      <c r="D5" s="116" t="s">
        <v>81</v>
      </c>
      <c r="E5" s="116"/>
      <c r="F5" s="4" t="s">
        <v>49</v>
      </c>
      <c r="G5" s="4" t="s">
        <v>102</v>
      </c>
      <c r="O5" s="9"/>
      <c r="P5" s="19"/>
    </row>
    <row r="6" spans="1:63" x14ac:dyDescent="0.25">
      <c r="A6" s="36"/>
      <c r="B6" s="37">
        <f>(20*10^-6)*10^(C6/20)</f>
        <v>1.0023744672545458</v>
      </c>
      <c r="C6" s="13">
        <v>94</v>
      </c>
      <c r="D6" s="38">
        <f>(10^-12*10^(C6/10))*1000</f>
        <v>2.5118864315095868</v>
      </c>
      <c r="E6" s="102" t="s">
        <v>79</v>
      </c>
      <c r="F6" s="4" t="s">
        <v>50</v>
      </c>
      <c r="G6" s="4" t="s">
        <v>83</v>
      </c>
      <c r="O6" s="9"/>
      <c r="P6" s="19"/>
    </row>
    <row r="7" spans="1:63" ht="18.75" x14ac:dyDescent="0.25">
      <c r="A7" s="32" t="s">
        <v>32</v>
      </c>
      <c r="B7" s="114" t="s">
        <v>33</v>
      </c>
      <c r="C7" s="114"/>
      <c r="D7" s="114"/>
      <c r="E7" s="3" t="s">
        <v>34</v>
      </c>
      <c r="F7" s="4" t="s">
        <v>51</v>
      </c>
      <c r="G7" s="4" t="s">
        <v>53</v>
      </c>
      <c r="O7" s="9"/>
      <c r="P7" s="19"/>
    </row>
    <row r="8" spans="1:63" ht="31.5" x14ac:dyDescent="0.25">
      <c r="A8" s="10" t="s">
        <v>101</v>
      </c>
      <c r="B8" s="5" t="s">
        <v>56</v>
      </c>
      <c r="C8" s="5" t="s">
        <v>57</v>
      </c>
      <c r="D8" s="39" t="s">
        <v>58</v>
      </c>
      <c r="E8" s="8">
        <v>0</v>
      </c>
      <c r="F8" s="4" t="s">
        <v>52</v>
      </c>
      <c r="G8" s="40" t="s">
        <v>75</v>
      </c>
      <c r="O8" s="9"/>
      <c r="P8" s="19"/>
    </row>
    <row r="9" spans="1:63" x14ac:dyDescent="0.25">
      <c r="A9" s="35" t="s">
        <v>54</v>
      </c>
      <c r="B9" s="41">
        <v>1</v>
      </c>
      <c r="C9" s="41">
        <v>1</v>
      </c>
      <c r="D9" s="41">
        <v>1</v>
      </c>
      <c r="E9" s="8" t="s">
        <v>23</v>
      </c>
      <c r="F9" s="43"/>
      <c r="G9" s="35"/>
      <c r="O9" s="9"/>
      <c r="P9" s="19"/>
    </row>
    <row r="10" spans="1:63" x14ac:dyDescent="0.25">
      <c r="A10" s="35" t="s">
        <v>55</v>
      </c>
      <c r="B10" s="41">
        <v>1</v>
      </c>
      <c r="C10" s="41">
        <v>1</v>
      </c>
      <c r="D10" s="41">
        <v>1</v>
      </c>
      <c r="E10" s="25" t="s">
        <v>23</v>
      </c>
      <c r="F10" s="2" t="s">
        <v>99</v>
      </c>
      <c r="G10" s="2" t="s">
        <v>44</v>
      </c>
      <c r="O10" s="9"/>
      <c r="P10" s="19"/>
    </row>
    <row r="11" spans="1:63" ht="22.5" x14ac:dyDescent="0.25">
      <c r="A11" s="35" t="s">
        <v>110</v>
      </c>
      <c r="B11" s="25">
        <f>B9*SIN(EXP(-B31*$E$8)+(2*PI()*B35/1000)+$G$27)</f>
        <v>0.86644278230696659</v>
      </c>
      <c r="C11" s="25">
        <f>C9*SIN(EXP(-C31*$E$8)+(2*PI()*C35/1000)+$G$27)</f>
        <v>0.86644278230696659</v>
      </c>
      <c r="D11" s="25">
        <f>D9*SIN(EXP(-D31*$E$8)+(2*PI()*D35/1000)+$G$27)</f>
        <v>0.86644278230696659</v>
      </c>
      <c r="E11" s="25" t="s">
        <v>23</v>
      </c>
      <c r="F11" s="35" t="s">
        <v>171</v>
      </c>
      <c r="G11" s="44" t="s">
        <v>161</v>
      </c>
      <c r="O11" s="9"/>
      <c r="P11" s="19"/>
    </row>
    <row r="12" spans="1:63" ht="31.5" x14ac:dyDescent="0.25">
      <c r="A12" s="35" t="s">
        <v>111</v>
      </c>
      <c r="B12" s="25">
        <f>(B43/10^6)*B11/(B32*B33)*SIN(EXP(-B31*$E$8)+(2*PI()*B35/1000)+$G$27)</f>
        <v>1.2586152972286877E-5</v>
      </c>
      <c r="C12" s="25">
        <f>(C43/10^6)*C11/(C32*C33)*SIN(EXP(-C31*$E$8)+(2*PI()*C35/1000)+$G$27)</f>
        <v>1.0384003527384712E-6</v>
      </c>
      <c r="D12" s="25">
        <f>(D43/10^6)*D11/(D32*D33)*SIN(EXP(-D31*$E$8)+(2*PI()*D35/1000)+$G$27)</f>
        <v>6.683206949103678E-6</v>
      </c>
      <c r="E12" s="25" t="s">
        <v>40</v>
      </c>
      <c r="F12" s="10" t="s">
        <v>172</v>
      </c>
      <c r="G12" s="45" t="s">
        <v>162</v>
      </c>
      <c r="O12" s="9"/>
      <c r="P12" s="19"/>
    </row>
    <row r="13" spans="1:63" ht="22.5" x14ac:dyDescent="0.25">
      <c r="A13" s="46" t="s">
        <v>112</v>
      </c>
      <c r="B13" s="25">
        <f>B10*SIN(EXP(B31*$E$8)+(2*PI()*B35/1000)+$G$27)</f>
        <v>0.86644278230696659</v>
      </c>
      <c r="C13" s="25">
        <f>C10*SIN(EXP(C31*$E$8)+(2*PI()*C35/1000)+$G$27)</f>
        <v>0.86644278230696659</v>
      </c>
      <c r="D13" s="25">
        <f>D10*SIN(EXP(D31*$E$8)+(2*PI()*D35/1000)+$G$27)</f>
        <v>0.86644278230696659</v>
      </c>
      <c r="E13" s="25" t="s">
        <v>23</v>
      </c>
      <c r="F13" s="35" t="s">
        <v>173</v>
      </c>
      <c r="G13" s="44" t="s">
        <v>163</v>
      </c>
      <c r="O13" s="9"/>
      <c r="P13" s="19"/>
    </row>
    <row r="14" spans="1:63" ht="31.5" x14ac:dyDescent="0.25">
      <c r="A14" s="35" t="s">
        <v>113</v>
      </c>
      <c r="B14" s="25">
        <f>(B43/10^6)*B13/(B32*B33)*SIN(EXP(B31*$E$8)+(2*PI()*B35/1000)+$G$27)</f>
        <v>1.2586152972286877E-5</v>
      </c>
      <c r="C14" s="25">
        <f>(C43/10^6)*C13/(C32*C33)*SIN(EXP(C31*$E$8)+(2*PI()*C35/1000)+$G$27)</f>
        <v>1.0384003527384712E-6</v>
      </c>
      <c r="D14" s="25">
        <f>(D43/10^6)*D13/(D32*D33)*SIN(EXP(D31*$E$8)+(2*PI()*D35/1000)+$G$27)</f>
        <v>6.683206949103678E-6</v>
      </c>
      <c r="E14" s="25" t="s">
        <v>40</v>
      </c>
      <c r="F14" s="10" t="s">
        <v>174</v>
      </c>
      <c r="G14" s="45" t="s">
        <v>164</v>
      </c>
      <c r="O14" s="9"/>
      <c r="P14" s="19"/>
    </row>
    <row r="15" spans="1:63" ht="30.75" customHeight="1" x14ac:dyDescent="0.25">
      <c r="A15" s="35" t="s">
        <v>72</v>
      </c>
      <c r="B15" s="47">
        <f>B11*EXP((-B31*$E$8)+B13*EXP(B31*$E$8))*EXP(2*PI()*B35/1000)</f>
        <v>2.1621789575421655</v>
      </c>
      <c r="C15" s="47">
        <f>C11*EXP((-C31*$E$8)+C13*EXP(C31*$E$8))*EXP(2*PI()*C35/1000)</f>
        <v>2.1621789575421655</v>
      </c>
      <c r="D15" s="47">
        <f>D11*EXP((-D31*$E$8)+D13*EXP(D31*$E$8))*EXP(2*PI()*D35/1000)</f>
        <v>2.1621789575421655</v>
      </c>
      <c r="E15" s="25" t="s">
        <v>23</v>
      </c>
      <c r="F15" s="10" t="s">
        <v>117</v>
      </c>
      <c r="G15" s="48" t="s">
        <v>105</v>
      </c>
      <c r="O15" s="9"/>
      <c r="P15" s="19"/>
      <c r="BK15" s="14"/>
    </row>
    <row r="16" spans="1:63" ht="46.5" customHeight="1" x14ac:dyDescent="0.25">
      <c r="A16" s="10" t="s">
        <v>78</v>
      </c>
      <c r="B16" s="25">
        <f>(B43/10^6)/(B34*B33)*(B11*EXP((-B31*$E$8)-B13*EXP(B31*$E$8))*EXP(2*PI()*B35/1000))</f>
        <v>1.6841747579448328E-5</v>
      </c>
      <c r="C16" s="25">
        <f>(C43/10^6)/(C34*C33)*(C11*EXP((-C31*$E$8)-C13*EXP(C31*$E$8))*EXP(2*PI()*C35/1000))</f>
        <v>1.3895013564302659E-6</v>
      </c>
      <c r="D16" s="25">
        <f>(D43/10^6)/(D34*D33)*(D11*EXP((-D31*$E$8)-D13*EXP(D31*$E$8))*EXP(2*PI()*D35/1000))</f>
        <v>8.9429140664232517E-6</v>
      </c>
      <c r="E16" s="25" t="s">
        <v>40</v>
      </c>
      <c r="F16" s="10" t="s">
        <v>118</v>
      </c>
      <c r="G16" s="49" t="s">
        <v>106</v>
      </c>
      <c r="O16" s="9"/>
      <c r="P16" s="19"/>
    </row>
    <row r="17" spans="1:16" ht="24" customHeight="1" x14ac:dyDescent="0.25">
      <c r="A17" s="35" t="s">
        <v>71</v>
      </c>
      <c r="B17" s="25">
        <f>B15/B16</f>
        <v>128382.1021151411</v>
      </c>
      <c r="C17" s="25">
        <f t="shared" ref="C17:D17" si="0">C15/C16</f>
        <v>1556082.6533462096</v>
      </c>
      <c r="D17" s="25">
        <f t="shared" si="0"/>
        <v>241775.66076142967</v>
      </c>
      <c r="E17" s="25" t="s">
        <v>18</v>
      </c>
      <c r="F17" s="10" t="s">
        <v>119</v>
      </c>
      <c r="G17" s="45" t="s">
        <v>64</v>
      </c>
      <c r="O17" s="9"/>
      <c r="P17" s="19"/>
    </row>
    <row r="18" spans="1:16" ht="47.25" customHeight="1" x14ac:dyDescent="0.25">
      <c r="A18" s="35" t="s">
        <v>71</v>
      </c>
      <c r="B18" s="10">
        <f>B11*EXP(-B31*B39/1000)+B13*EXP(B31*B39/1000)/(B11/(B33*B32)*EXP(-B31*B39/1000)-B13/(B32*B33)*EXP(B31*(B39/1000)))</f>
        <v>-415.66329301729365</v>
      </c>
      <c r="C18" s="10">
        <f>C11*EXP(-C31*C39/1000)+C13*EXP(C31*C39/1000)/(C11/(C33*C32)*EXP(-C31*C39/1000)-C13/(C32*C33)*EXP(C31*(C39/1000)))</f>
        <v>-414.80655395924236</v>
      </c>
      <c r="D18" s="10">
        <f t="shared" ref="D18" si="1">D11*EXP(-D31*D39/1000)+D13*EXP(D31*D39/1000)/(D11/(D33*D32)*EXP(-D31*D39/1000)-D13/(D32*D33)*EXP(D31*(D39/1000)))</f>
        <v>-441.29789444754238</v>
      </c>
      <c r="E18" s="25" t="s">
        <v>18</v>
      </c>
      <c r="F18" s="10" t="s">
        <v>120</v>
      </c>
      <c r="G18" s="48" t="s">
        <v>107</v>
      </c>
      <c r="O18" s="9"/>
      <c r="P18" s="19"/>
    </row>
    <row r="19" spans="1:16" ht="27" customHeight="1" x14ac:dyDescent="0.25">
      <c r="A19" s="50" t="s">
        <v>73</v>
      </c>
      <c r="B19" s="25">
        <f>B32*B33/(B43/10^6)</f>
        <v>59646.748030540803</v>
      </c>
      <c r="C19" s="25">
        <f t="shared" ref="C19:D19" si="2">C32*C33/(C43/10^6)</f>
        <v>722961.13250735065</v>
      </c>
      <c r="D19" s="25">
        <f t="shared" si="2"/>
        <v>112329.76933514247</v>
      </c>
      <c r="E19" s="25" t="s">
        <v>18</v>
      </c>
      <c r="F19" s="51" t="s">
        <v>121</v>
      </c>
      <c r="G19" s="52" t="s">
        <v>76</v>
      </c>
      <c r="O19" s="9"/>
      <c r="P19" s="19"/>
    </row>
    <row r="20" spans="1:16" ht="22.5" customHeight="1" x14ac:dyDescent="0.25">
      <c r="A20" s="35" t="s">
        <v>74</v>
      </c>
      <c r="B20" s="25">
        <f>EXP(-2*B31*B39/1000)*(B17-B19)/(B17+B19)</f>
        <v>1.5694964185175488E-3</v>
      </c>
      <c r="C20" s="25">
        <f>EXP(-2*C31*C39/1000)*(C17-C19)/(C17+C19)</f>
        <v>8.0362257363445454E-4</v>
      </c>
      <c r="D20" s="25">
        <f t="shared" ref="D20" si="3">EXP(-2*D31*D39/1000)*(D17-D19)/(D17+D19)</f>
        <v>2.2834585626683026E-2</v>
      </c>
      <c r="E20" s="25"/>
      <c r="F20" s="53" t="s">
        <v>122</v>
      </c>
      <c r="G20" s="45" t="s">
        <v>65</v>
      </c>
      <c r="O20" s="9"/>
      <c r="P20" s="19"/>
    </row>
    <row r="21" spans="1:16" ht="33.75" customHeight="1" x14ac:dyDescent="0.25">
      <c r="A21" s="10" t="s">
        <v>59</v>
      </c>
      <c r="B21" s="41">
        <f>B31*B32*(1+B19)/(1-B19)</f>
        <v>-821.93102953127686</v>
      </c>
      <c r="C21" s="41">
        <f t="shared" ref="C21:D21" si="4">C31*C32*(1+C19)/(1-C19)</f>
        <v>-821.90574374943355</v>
      </c>
      <c r="D21" s="41">
        <f t="shared" si="4"/>
        <v>-821.9181039229253</v>
      </c>
      <c r="E21" s="25" t="s">
        <v>18</v>
      </c>
      <c r="F21" s="10" t="s">
        <v>123</v>
      </c>
      <c r="G21" s="54"/>
      <c r="O21" s="9"/>
      <c r="P21" s="19"/>
    </row>
    <row r="22" spans="1:16" ht="38.25" customHeight="1" x14ac:dyDescent="0.25">
      <c r="A22" s="35" t="s">
        <v>68</v>
      </c>
      <c r="B22" s="55">
        <f>B19*((B17*COS(B31*B39/1000)+B19*SIN(B31*B39/1000))/(B17*SIN(B31*B39/1000)+B19*COS(B31*B39/1000)))</f>
        <v>2105416.8056261423</v>
      </c>
      <c r="C22" s="55">
        <f>C19*((C17*COS(C31*C39/1000)+C19*SIN(C31*C39/1000))/(C17*SIN(C31*C39/1000)+C19*COS(C31*C39/1000)))</f>
        <v>1816626.2452322701</v>
      </c>
      <c r="D22" s="55">
        <f t="shared" ref="D22" si="5">D19*((D17*COS(D31*D39/1000)+D19*SIN(D31*D39/1000))/(D17*SIN(D31*D39/1000)+D19*COS(D31*D39/1000)))</f>
        <v>67294.01637185755</v>
      </c>
      <c r="E22" s="25" t="s">
        <v>18</v>
      </c>
      <c r="F22" s="10" t="s">
        <v>124</v>
      </c>
      <c r="G22" s="48" t="s">
        <v>43</v>
      </c>
      <c r="O22" s="9"/>
      <c r="P22" s="19"/>
    </row>
    <row r="23" spans="1:16" ht="20.25" x14ac:dyDescent="0.25">
      <c r="A23" s="35" t="s">
        <v>69</v>
      </c>
      <c r="B23" s="56" t="s">
        <v>26</v>
      </c>
      <c r="C23" s="56" t="s">
        <v>26</v>
      </c>
      <c r="D23" s="56">
        <f t="shared" ref="D23" si="6">-D32*D33*1/TAN(D31*D39/1000)</f>
        <v>-77.130796162479882</v>
      </c>
      <c r="E23" s="25" t="s">
        <v>18</v>
      </c>
      <c r="F23" s="57" t="s">
        <v>125</v>
      </c>
      <c r="G23" s="44" t="s">
        <v>66</v>
      </c>
      <c r="O23" s="9"/>
      <c r="P23" s="19"/>
    </row>
    <row r="24" spans="1:16" ht="23.25" customHeight="1" x14ac:dyDescent="0.25">
      <c r="A24" s="35" t="s">
        <v>70</v>
      </c>
      <c r="B24" s="56">
        <f>B32*B33*TAN(B31*C39/1000)</f>
        <v>-33.838988555154309</v>
      </c>
      <c r="C24" s="56">
        <f>C32*C33*TAN(C31*C39/1000)</f>
        <v>-33.838988555154309</v>
      </c>
      <c r="D24" s="56" t="s">
        <v>26</v>
      </c>
      <c r="E24" s="25" t="s">
        <v>18</v>
      </c>
      <c r="F24" s="57" t="s">
        <v>126</v>
      </c>
      <c r="G24" s="44" t="s">
        <v>165</v>
      </c>
      <c r="O24" s="9"/>
      <c r="P24" s="19"/>
    </row>
    <row r="25" spans="1:16" x14ac:dyDescent="0.25">
      <c r="A25" s="58" t="s">
        <v>31</v>
      </c>
      <c r="B25" s="59">
        <f>(B17-B22)^2/(B17+B22)^2</f>
        <v>0.78332220343173153</v>
      </c>
      <c r="C25" s="59">
        <f t="shared" ref="C25:D25" si="7">(C17-C22)^2/(C17+C22)^2</f>
        <v>5.9676463062965828E-3</v>
      </c>
      <c r="D25" s="59">
        <f t="shared" si="7"/>
        <v>0.31870339820505394</v>
      </c>
      <c r="E25" s="25"/>
      <c r="F25" s="35" t="s">
        <v>127</v>
      </c>
      <c r="G25" s="60"/>
      <c r="O25" s="9"/>
      <c r="P25" s="19"/>
    </row>
    <row r="26" spans="1:16" x14ac:dyDescent="0.25">
      <c r="A26" s="58" t="s">
        <v>36</v>
      </c>
      <c r="B26" s="59">
        <f>4*B17*B22/(B17+B22)^2</f>
        <v>0.21667779656826844</v>
      </c>
      <c r="C26" s="59">
        <f t="shared" ref="C26:D26" si="8">4*C17*C22/(C17+C22)^2</f>
        <v>0.99403235369370324</v>
      </c>
      <c r="D26" s="59">
        <f t="shared" si="8"/>
        <v>0.68129660179494622</v>
      </c>
      <c r="E26" s="25"/>
      <c r="F26" s="35" t="s">
        <v>169</v>
      </c>
      <c r="G26" s="76">
        <v>0</v>
      </c>
      <c r="O26" s="9"/>
      <c r="P26" s="19"/>
    </row>
    <row r="27" spans="1:16" x14ac:dyDescent="0.25">
      <c r="A27" s="58" t="s">
        <v>41</v>
      </c>
      <c r="B27" s="59">
        <f>(B17-B22)/(B17+B22)</f>
        <v>-0.88505491548927717</v>
      </c>
      <c r="C27" s="59">
        <f t="shared" ref="C27:D27" si="9">(C17-C22)/(C17+C22)</f>
        <v>-7.7250542433672159E-2</v>
      </c>
      <c r="D27" s="59">
        <f t="shared" si="9"/>
        <v>0.56453821677992178</v>
      </c>
      <c r="E27" s="25"/>
      <c r="F27" s="35" t="s">
        <v>170</v>
      </c>
      <c r="G27" s="105">
        <f>G26*PI()/180</f>
        <v>0</v>
      </c>
      <c r="O27" s="9"/>
      <c r="P27" s="19"/>
    </row>
    <row r="28" spans="1:16" ht="17.25" customHeight="1" x14ac:dyDescent="0.25">
      <c r="A28" s="58" t="s">
        <v>42</v>
      </c>
      <c r="B28" s="59">
        <f>2*B22/(B17+B22)</f>
        <v>1.8850549154892771</v>
      </c>
      <c r="C28" s="59">
        <f t="shared" ref="C28:D28" si="10">2*C22/(C17+C22)</f>
        <v>1.077250542433672</v>
      </c>
      <c r="D28" s="59">
        <f t="shared" si="10"/>
        <v>0.43546178322007834</v>
      </c>
      <c r="E28" s="25"/>
      <c r="F28" s="35" t="s">
        <v>128</v>
      </c>
      <c r="O28" s="9"/>
      <c r="P28" s="19"/>
    </row>
    <row r="29" spans="1:16" ht="17.25" customHeight="1" x14ac:dyDescent="0.25">
      <c r="A29" s="50" t="s">
        <v>67</v>
      </c>
      <c r="B29" s="61">
        <f>B22-B17</f>
        <v>1977034.7035110013</v>
      </c>
      <c r="C29" s="61">
        <f t="shared" ref="C29:D29" si="11">C22-C17</f>
        <v>260543.59188606055</v>
      </c>
      <c r="D29" s="61">
        <f t="shared" si="11"/>
        <v>-174481.64438957212</v>
      </c>
      <c r="E29" s="25"/>
      <c r="F29" s="57" t="s">
        <v>129</v>
      </c>
      <c r="G29" s="62"/>
      <c r="O29" s="9"/>
      <c r="P29" s="19"/>
    </row>
    <row r="30" spans="1:16" ht="28.5" customHeight="1" x14ac:dyDescent="0.25">
      <c r="A30" s="112" t="s">
        <v>116</v>
      </c>
      <c r="B30" s="113"/>
      <c r="C30" s="113"/>
      <c r="D30" s="113"/>
      <c r="E30" s="113"/>
      <c r="F30" s="113"/>
      <c r="G30" s="113"/>
      <c r="O30" s="9"/>
      <c r="P30" s="19"/>
    </row>
    <row r="31" spans="1:16" ht="14.25" customHeight="1" x14ac:dyDescent="0.25">
      <c r="A31" s="35" t="s">
        <v>21</v>
      </c>
      <c r="B31" s="56">
        <f>2*PI()/(B36/1000)</f>
        <v>2.3906441827578875</v>
      </c>
      <c r="C31" s="56">
        <f>2*PI()/(C36/1000)</f>
        <v>2.3906441827578875</v>
      </c>
      <c r="D31" s="56">
        <f>2*PI()/(D36/1000)</f>
        <v>2.3906441827578875</v>
      </c>
      <c r="E31" s="25" t="s">
        <v>22</v>
      </c>
      <c r="F31" s="58" t="s">
        <v>130</v>
      </c>
      <c r="G31" s="63"/>
      <c r="O31" s="9"/>
      <c r="P31" s="19"/>
    </row>
    <row r="32" spans="1:16" x14ac:dyDescent="0.25">
      <c r="A32" s="35" t="s">
        <v>20</v>
      </c>
      <c r="B32" s="25">
        <v>343.8</v>
      </c>
      <c r="C32" s="25">
        <v>343.8</v>
      </c>
      <c r="D32" s="25">
        <v>343.8</v>
      </c>
      <c r="E32" s="25" t="s">
        <v>12</v>
      </c>
      <c r="F32" s="51"/>
      <c r="G32" s="64"/>
      <c r="O32" s="9"/>
      <c r="P32" s="19"/>
    </row>
    <row r="33" spans="1:16" ht="16.5" customHeight="1" x14ac:dyDescent="0.25">
      <c r="A33" s="35" t="s">
        <v>38</v>
      </c>
      <c r="B33" s="25">
        <v>1.204</v>
      </c>
      <c r="C33" s="25">
        <v>1.204</v>
      </c>
      <c r="D33" s="25">
        <v>1.204</v>
      </c>
      <c r="E33" s="25" t="s">
        <v>11</v>
      </c>
      <c r="F33" s="65"/>
      <c r="O33" s="9"/>
      <c r="P33" s="19"/>
    </row>
    <row r="34" spans="1:16" x14ac:dyDescent="0.25">
      <c r="A34" s="35" t="s">
        <v>7</v>
      </c>
      <c r="B34" s="66">
        <v>130.81</v>
      </c>
      <c r="C34" s="13">
        <v>130.81</v>
      </c>
      <c r="D34" s="13">
        <v>130.81</v>
      </c>
      <c r="E34" s="25" t="s">
        <v>15</v>
      </c>
      <c r="F34" s="65"/>
      <c r="O34" s="9"/>
      <c r="P34" s="19"/>
    </row>
    <row r="35" spans="1:16" x14ac:dyDescent="0.25">
      <c r="A35" s="35" t="s">
        <v>84</v>
      </c>
      <c r="B35" s="5">
        <f>1/B34*1000</f>
        <v>7.6446754835257238</v>
      </c>
      <c r="C35" s="5">
        <f>1/C34*1000</f>
        <v>7.6446754835257238</v>
      </c>
      <c r="D35" s="5">
        <f>1/D34*1000</f>
        <v>7.6446754835257238</v>
      </c>
      <c r="E35" s="25" t="s">
        <v>0</v>
      </c>
      <c r="F35" s="34" t="s">
        <v>131</v>
      </c>
      <c r="G35" s="67"/>
      <c r="O35" s="9"/>
      <c r="P35" s="19"/>
    </row>
    <row r="36" spans="1:16" x14ac:dyDescent="0.25">
      <c r="A36" s="10" t="s">
        <v>90</v>
      </c>
      <c r="B36" s="5">
        <f>B32/B34*1000</f>
        <v>2628.2394312361439</v>
      </c>
      <c r="C36" s="5">
        <f>C32/C34*1000</f>
        <v>2628.2394312361439</v>
      </c>
      <c r="D36" s="5">
        <f>D32/D34*1000</f>
        <v>2628.2394312361439</v>
      </c>
      <c r="E36" s="25" t="s">
        <v>13</v>
      </c>
      <c r="F36" s="42" t="s">
        <v>132</v>
      </c>
      <c r="O36" s="9"/>
      <c r="P36" s="19"/>
    </row>
    <row r="37" spans="1:16" ht="15" customHeight="1" x14ac:dyDescent="0.25">
      <c r="A37" s="10" t="s">
        <v>91</v>
      </c>
      <c r="B37" s="5">
        <f>B36/2</f>
        <v>1314.119715618072</v>
      </c>
      <c r="C37" s="5">
        <f>C36/2</f>
        <v>1314.119715618072</v>
      </c>
      <c r="D37" s="68">
        <f>D36/4</f>
        <v>657.05985780903598</v>
      </c>
      <c r="E37" s="25" t="s">
        <v>13</v>
      </c>
      <c r="F37" s="42" t="s">
        <v>133</v>
      </c>
      <c r="O37" s="9"/>
      <c r="P37" s="19"/>
    </row>
    <row r="38" spans="1:16" ht="15.75" customHeight="1" x14ac:dyDescent="0.25">
      <c r="A38" s="10" t="s">
        <v>92</v>
      </c>
      <c r="B38" s="5">
        <f>B35/2</f>
        <v>3.8223377417628619</v>
      </c>
      <c r="C38" s="5">
        <f>C35/2</f>
        <v>3.8223377417628619</v>
      </c>
      <c r="D38" s="68">
        <f>D35/4</f>
        <v>1.9111688708814309</v>
      </c>
      <c r="E38" s="25" t="s">
        <v>0</v>
      </c>
      <c r="F38" s="69" t="s">
        <v>134</v>
      </c>
      <c r="O38" s="9"/>
      <c r="P38" s="19"/>
    </row>
    <row r="39" spans="1:16" x14ac:dyDescent="0.25">
      <c r="A39" s="70" t="s">
        <v>45</v>
      </c>
      <c r="B39" s="71">
        <v>1140</v>
      </c>
      <c r="C39" s="72">
        <v>1280</v>
      </c>
      <c r="D39" s="71">
        <v>580</v>
      </c>
      <c r="E39" s="25" t="s">
        <v>13</v>
      </c>
      <c r="F39" s="73"/>
      <c r="G39" s="46">
        <v>7.3</v>
      </c>
      <c r="O39" s="9"/>
      <c r="P39" s="19"/>
    </row>
    <row r="40" spans="1:16" x14ac:dyDescent="0.25">
      <c r="A40" s="70" t="s">
        <v>1</v>
      </c>
      <c r="B40" s="71">
        <v>94</v>
      </c>
      <c r="C40" s="72">
        <v>27</v>
      </c>
      <c r="D40" s="5" t="s">
        <v>26</v>
      </c>
      <c r="E40" s="25" t="s">
        <v>13</v>
      </c>
      <c r="F40" s="37" t="s">
        <v>13</v>
      </c>
      <c r="G40" s="74">
        <f>G39*G41</f>
        <v>1241</v>
      </c>
      <c r="O40" s="9"/>
      <c r="P40" s="19"/>
    </row>
    <row r="41" spans="1:16" x14ac:dyDescent="0.25">
      <c r="A41" s="10" t="s">
        <v>5</v>
      </c>
      <c r="B41" s="75" t="s">
        <v>26</v>
      </c>
      <c r="C41" s="5" t="s">
        <v>26</v>
      </c>
      <c r="D41" s="71">
        <v>55</v>
      </c>
      <c r="E41" s="25" t="s">
        <v>13</v>
      </c>
      <c r="F41" s="37" t="s">
        <v>100</v>
      </c>
      <c r="G41" s="76">
        <v>170</v>
      </c>
      <c r="O41" s="9"/>
      <c r="P41" s="19"/>
    </row>
    <row r="42" spans="1:16" x14ac:dyDescent="0.25">
      <c r="A42" s="10" t="s">
        <v>6</v>
      </c>
      <c r="B42" s="5" t="s">
        <v>26</v>
      </c>
      <c r="C42" s="5" t="s">
        <v>26</v>
      </c>
      <c r="D42" s="71">
        <v>67</v>
      </c>
      <c r="E42" s="25" t="s">
        <v>13</v>
      </c>
      <c r="F42" s="51"/>
      <c r="G42" s="51"/>
      <c r="O42" s="9"/>
      <c r="P42" s="19"/>
    </row>
    <row r="43" spans="1:16" x14ac:dyDescent="0.25">
      <c r="A43" s="10" t="s">
        <v>39</v>
      </c>
      <c r="B43" s="5">
        <f>PI()*((B40/2)^2)</f>
        <v>6939.7781717798534</v>
      </c>
      <c r="C43" s="5">
        <f>PI()*((C40/2)^2)</f>
        <v>572.55526111673976</v>
      </c>
      <c r="D43" s="41">
        <f>D41*D42</f>
        <v>3685</v>
      </c>
      <c r="E43" s="25" t="s">
        <v>14</v>
      </c>
      <c r="F43" s="35" t="s">
        <v>167</v>
      </c>
      <c r="G43" s="106">
        <v>0.13700000000000001</v>
      </c>
      <c r="O43" s="9"/>
      <c r="P43" s="19"/>
    </row>
    <row r="44" spans="1:16" ht="31.5" x14ac:dyDescent="0.25">
      <c r="A44" s="10" t="s">
        <v>28</v>
      </c>
      <c r="B44" s="25" t="s">
        <v>26</v>
      </c>
      <c r="C44" s="25" t="s">
        <v>26</v>
      </c>
      <c r="D44" s="5">
        <f>2*(SQRT(D43/PI()))</f>
        <v>68.497355586541261</v>
      </c>
      <c r="E44" s="25" t="s">
        <v>13</v>
      </c>
      <c r="F44" s="35" t="s">
        <v>135</v>
      </c>
      <c r="G44" s="67" t="s">
        <v>166</v>
      </c>
      <c r="O44" s="9"/>
      <c r="P44" s="19"/>
    </row>
    <row r="45" spans="1:16" x14ac:dyDescent="0.25">
      <c r="A45" s="10" t="s">
        <v>8</v>
      </c>
      <c r="B45" s="71">
        <v>64.7</v>
      </c>
      <c r="C45" s="71">
        <v>15.22</v>
      </c>
      <c r="D45" s="71">
        <v>54.68</v>
      </c>
      <c r="E45" s="25" t="s">
        <v>13</v>
      </c>
      <c r="F45" s="77" t="s">
        <v>100</v>
      </c>
      <c r="G45" s="107">
        <f>G46*G43</f>
        <v>179.47000000000003</v>
      </c>
      <c r="O45" s="9"/>
      <c r="P45" s="19"/>
    </row>
    <row r="46" spans="1:16" ht="16.5" customHeight="1" x14ac:dyDescent="0.25">
      <c r="A46" s="10" t="s">
        <v>9</v>
      </c>
      <c r="B46" s="71">
        <v>20.05</v>
      </c>
      <c r="C46" s="71">
        <v>11.76</v>
      </c>
      <c r="D46" s="13">
        <v>28.74</v>
      </c>
      <c r="E46" s="25" t="s">
        <v>13</v>
      </c>
      <c r="F46" s="97" t="s">
        <v>13</v>
      </c>
      <c r="G46" s="108">
        <v>1310</v>
      </c>
      <c r="O46" s="9"/>
      <c r="P46" s="19"/>
    </row>
    <row r="47" spans="1:16" ht="15.75" customHeight="1" x14ac:dyDescent="0.25">
      <c r="A47" s="10" t="s">
        <v>10</v>
      </c>
      <c r="B47" s="5">
        <f>B45*B46</f>
        <v>1297.2350000000001</v>
      </c>
      <c r="C47" s="5">
        <f>C45*C46</f>
        <v>178.9872</v>
      </c>
      <c r="D47" s="5">
        <f>D45*D46</f>
        <v>1571.5031999999999</v>
      </c>
      <c r="E47" s="25" t="s">
        <v>14</v>
      </c>
      <c r="F47" s="35" t="s">
        <v>136</v>
      </c>
      <c r="G47" s="67"/>
      <c r="O47" s="9"/>
      <c r="P47" s="19"/>
    </row>
    <row r="48" spans="1:16" ht="36.75" customHeight="1" x14ac:dyDescent="0.25">
      <c r="A48" s="10" t="s">
        <v>27</v>
      </c>
      <c r="B48" s="5">
        <f>SQRT(B47/PI())</f>
        <v>20.320500121887495</v>
      </c>
      <c r="C48" s="5">
        <f>(SQRT(C47/PI()))</f>
        <v>7.5480722877007072</v>
      </c>
      <c r="D48" s="5">
        <f>(SQRT(D47/PI()))</f>
        <v>22.365710467800096</v>
      </c>
      <c r="E48" s="25" t="s">
        <v>13</v>
      </c>
      <c r="F48" s="35" t="s">
        <v>137</v>
      </c>
      <c r="O48" s="9"/>
      <c r="P48" s="19"/>
    </row>
    <row r="49" spans="1:16" ht="50.25" customHeight="1" x14ac:dyDescent="0.25">
      <c r="A49" s="10" t="s">
        <v>93</v>
      </c>
      <c r="B49" s="5">
        <f>B37-B39</f>
        <v>174.11971561807195</v>
      </c>
      <c r="C49" s="5">
        <f>C37-C39</f>
        <v>34.11971561807195</v>
      </c>
      <c r="D49" s="68">
        <f>D37-D39</f>
        <v>77.059857809035975</v>
      </c>
      <c r="E49" s="25" t="s">
        <v>13</v>
      </c>
      <c r="F49" s="35" t="s">
        <v>138</v>
      </c>
      <c r="G49" s="67"/>
      <c r="O49" s="9"/>
      <c r="P49" s="19"/>
    </row>
    <row r="50" spans="1:16" ht="30.75" customHeight="1" x14ac:dyDescent="0.25">
      <c r="A50" s="10" t="s">
        <v>16</v>
      </c>
      <c r="B50" s="5">
        <f>B32/(B39/1000)/2</f>
        <v>150.78947368421055</v>
      </c>
      <c r="C50" s="5">
        <f>C32/(C39/1000)/2</f>
        <v>134.296875</v>
      </c>
      <c r="D50" s="5">
        <f>D32/(D39/1000)/4</f>
        <v>148.18965517241381</v>
      </c>
      <c r="E50" s="25" t="s">
        <v>15</v>
      </c>
      <c r="F50" s="35" t="s">
        <v>139</v>
      </c>
      <c r="G50" s="67"/>
      <c r="O50" s="9"/>
      <c r="P50" s="19"/>
    </row>
    <row r="51" spans="1:16" ht="34.5" customHeight="1" x14ac:dyDescent="0.25">
      <c r="A51" s="10" t="s">
        <v>17</v>
      </c>
      <c r="B51" s="5">
        <f>1/(2*B50)*1000</f>
        <v>3.3158813263525304</v>
      </c>
      <c r="C51" s="5">
        <f>1/(2*C50)*1000</f>
        <v>3.7230948225712623</v>
      </c>
      <c r="D51" s="5">
        <f>1/(2*D50)*1000</f>
        <v>3.3740546829552063</v>
      </c>
      <c r="E51" s="25" t="s">
        <v>0</v>
      </c>
      <c r="F51" s="35" t="s">
        <v>140</v>
      </c>
      <c r="G51" s="67"/>
    </row>
    <row r="52" spans="1:16" ht="47.25" x14ac:dyDescent="0.25">
      <c r="A52" s="10" t="s">
        <v>94</v>
      </c>
      <c r="B52" s="5">
        <f>B50-B34</f>
        <v>19.979473684210546</v>
      </c>
      <c r="C52" s="5">
        <f>C50-C34</f>
        <v>3.4868749999999977</v>
      </c>
      <c r="D52" s="68">
        <f>D50-D34</f>
        <v>17.379655172413806</v>
      </c>
      <c r="E52" s="25" t="s">
        <v>15</v>
      </c>
      <c r="F52" s="35" t="s">
        <v>141</v>
      </c>
      <c r="G52" s="67"/>
    </row>
    <row r="53" spans="1:16" x14ac:dyDescent="0.25">
      <c r="A53" s="10" t="s">
        <v>24</v>
      </c>
      <c r="B53" s="5">
        <f>0.6133*B40/2</f>
        <v>28.825099999999999</v>
      </c>
      <c r="C53" s="5">
        <f>0.6133*C40/2</f>
        <v>8.2795499999999986</v>
      </c>
      <c r="D53" s="5" t="s">
        <v>26</v>
      </c>
      <c r="E53" s="25" t="s">
        <v>13</v>
      </c>
      <c r="F53" s="35" t="s">
        <v>142</v>
      </c>
      <c r="G53" s="67"/>
    </row>
    <row r="54" spans="1:16" x14ac:dyDescent="0.25">
      <c r="A54" s="10" t="s">
        <v>4</v>
      </c>
      <c r="B54" s="5">
        <f>2.3*(B40/2)^2/SQRT(B45*B46)</f>
        <v>141.06335965833645</v>
      </c>
      <c r="C54" s="5">
        <f>2.3*(C40/2)^2/SQRT(C45*C46)</f>
        <v>31.331730761109547</v>
      </c>
      <c r="D54" s="5">
        <f>2.3*(D44/2)^2/SQRT(D45*D46)</f>
        <v>68.054652489720937</v>
      </c>
      <c r="E54" s="25" t="s">
        <v>13</v>
      </c>
      <c r="F54" s="35" t="s">
        <v>143</v>
      </c>
      <c r="G54" s="67"/>
    </row>
    <row r="55" spans="1:16" ht="16.5" customHeight="1" x14ac:dyDescent="0.25">
      <c r="A55" s="10" t="s">
        <v>80</v>
      </c>
      <c r="B55" s="5">
        <f>1.3*(B43/B47)*B48</f>
        <v>141.32034067935422</v>
      </c>
      <c r="C55" s="5">
        <f>1.3*(C43/C47)*C48</f>
        <v>31.388809085209768</v>
      </c>
      <c r="D55" s="5">
        <f>1.3*(D43/D47)*D48</f>
        <v>68.178630495945768</v>
      </c>
      <c r="E55" s="25" t="s">
        <v>13</v>
      </c>
      <c r="F55" s="35" t="s">
        <v>144</v>
      </c>
      <c r="G55" s="78"/>
    </row>
    <row r="56" spans="1:16" ht="18.75" customHeight="1" x14ac:dyDescent="0.25">
      <c r="A56" s="10" t="s">
        <v>61</v>
      </c>
      <c r="B56" s="5">
        <f>B32/(2*(B53+B39)/1000)</f>
        <v>147.07076362408714</v>
      </c>
      <c r="C56" s="5">
        <f>C32/(2*(C53+C39)/1000)</f>
        <v>133.43377219641499</v>
      </c>
      <c r="D56" s="5" t="s">
        <v>26</v>
      </c>
      <c r="E56" s="25" t="s">
        <v>15</v>
      </c>
      <c r="F56" s="35" t="s">
        <v>145</v>
      </c>
      <c r="G56" s="79"/>
    </row>
    <row r="57" spans="1:16" ht="31.5" x14ac:dyDescent="0.25">
      <c r="A57" s="10" t="s">
        <v>60</v>
      </c>
      <c r="B57" s="5">
        <f>B32/(2*(B39+B54)/1000)</f>
        <v>134.18540051434013</v>
      </c>
      <c r="C57" s="5">
        <f>C32/(2*(C39+C54)/1000)</f>
        <v>131.08811139666969</v>
      </c>
      <c r="D57" s="5">
        <f>D32/(4*(D39+D54)/1000)</f>
        <v>132.62770303367785</v>
      </c>
      <c r="E57" s="25" t="s">
        <v>15</v>
      </c>
      <c r="F57" s="35" t="s">
        <v>146</v>
      </c>
      <c r="G57" s="80"/>
    </row>
    <row r="58" spans="1:16" ht="33" customHeight="1" x14ac:dyDescent="0.25">
      <c r="A58" s="10" t="s">
        <v>89</v>
      </c>
      <c r="B58" s="5">
        <f>(B53+B39)*2</f>
        <v>2337.6502</v>
      </c>
      <c r="C58" s="5">
        <f>(C53+C39)*2</f>
        <v>2576.5590999999999</v>
      </c>
      <c r="D58" s="5" t="s">
        <v>26</v>
      </c>
      <c r="E58" s="25" t="s">
        <v>13</v>
      </c>
      <c r="F58" s="35" t="s">
        <v>147</v>
      </c>
      <c r="G58" s="67"/>
    </row>
    <row r="59" spans="1:16" ht="48" customHeight="1" x14ac:dyDescent="0.25">
      <c r="A59" s="10" t="s">
        <v>95</v>
      </c>
      <c r="B59" s="5">
        <f>(B54+B39)*2</f>
        <v>2562.1267193166727</v>
      </c>
      <c r="C59" s="5">
        <f>(C54+C39)*2</f>
        <v>2622.6634615222192</v>
      </c>
      <c r="D59" s="81">
        <f>(D54+D39)*4</f>
        <v>2592.2186099588839</v>
      </c>
      <c r="E59" s="25" t="s">
        <v>13</v>
      </c>
      <c r="F59" s="35" t="s">
        <v>150</v>
      </c>
    </row>
    <row r="60" spans="1:16" ht="33.75" customHeight="1" x14ac:dyDescent="0.25">
      <c r="A60" s="10" t="s">
        <v>25</v>
      </c>
      <c r="B60" s="82">
        <f>(B54+B53+B39)*2</f>
        <v>2619.7769193166728</v>
      </c>
      <c r="C60" s="82">
        <f>(C54+C53+C39)*2</f>
        <v>2639.2225615222192</v>
      </c>
      <c r="D60" s="25" t="s">
        <v>26</v>
      </c>
      <c r="E60" s="25" t="s">
        <v>13</v>
      </c>
      <c r="F60" s="35" t="s">
        <v>148</v>
      </c>
    </row>
    <row r="61" spans="1:16" ht="48.75" customHeight="1" x14ac:dyDescent="0.25">
      <c r="A61" s="10" t="s">
        <v>96</v>
      </c>
      <c r="B61" s="82">
        <f>B32/B60*1000</f>
        <v>131.23254788032668</v>
      </c>
      <c r="C61" s="82">
        <f>C32/C60*1000</f>
        <v>130.26563390762587</v>
      </c>
      <c r="D61" s="81">
        <f>D32/D59*1000</f>
        <v>132.62770303367782</v>
      </c>
      <c r="E61" s="25" t="s">
        <v>15</v>
      </c>
      <c r="F61" s="35" t="s">
        <v>149</v>
      </c>
    </row>
    <row r="62" spans="1:16" ht="29.25" customHeight="1" x14ac:dyDescent="0.25">
      <c r="A62" s="10" t="s">
        <v>29</v>
      </c>
      <c r="B62" s="83">
        <f>1-(B61/B34)</f>
        <v>-3.2302414213492003E-3</v>
      </c>
      <c r="C62" s="83">
        <f>1-(C61/C34)</f>
        <v>4.161502120435201E-3</v>
      </c>
      <c r="D62" s="83">
        <f>1-(D61/D34)</f>
        <v>-1.3895749817887104E-2</v>
      </c>
      <c r="E62" s="25" t="s">
        <v>30</v>
      </c>
      <c r="F62" s="35" t="s">
        <v>151</v>
      </c>
    </row>
    <row r="63" spans="1:16" ht="31.5" customHeight="1" x14ac:dyDescent="0.25">
      <c r="A63" s="10" t="s">
        <v>37</v>
      </c>
      <c r="B63" s="83">
        <f>1-(B60/B36)</f>
        <v>3.2198405590052603E-3</v>
      </c>
      <c r="C63" s="83">
        <f>1-(C60/C36)</f>
        <v>-4.1788925908130548E-3</v>
      </c>
      <c r="D63" s="83">
        <f>1-(D59/D36)</f>
        <v>1.3705304337633395E-2</v>
      </c>
      <c r="E63" s="25" t="s">
        <v>30</v>
      </c>
      <c r="F63" s="35" t="s">
        <v>152</v>
      </c>
    </row>
    <row r="64" spans="1:16" ht="36" customHeight="1" x14ac:dyDescent="0.25">
      <c r="A64" s="10" t="s">
        <v>2</v>
      </c>
      <c r="B64" s="5">
        <f>(B38-B67)*1000</f>
        <v>422.61377433994164</v>
      </c>
      <c r="C64" s="5">
        <f>(C38-C67)*1000</f>
        <v>75.160458458615409</v>
      </c>
      <c r="D64" s="5" t="s">
        <v>26</v>
      </c>
      <c r="E64" s="25" t="s">
        <v>3</v>
      </c>
      <c r="F64" s="35" t="s">
        <v>153</v>
      </c>
    </row>
    <row r="65" spans="1:15" ht="30.75" customHeight="1" x14ac:dyDescent="0.25">
      <c r="A65" s="10" t="s">
        <v>85</v>
      </c>
      <c r="B65" s="5">
        <f>B56-B34</f>
        <v>16.260763624087133</v>
      </c>
      <c r="C65" s="5">
        <f>C56-C34</f>
        <v>2.6237721964149898</v>
      </c>
      <c r="D65" s="5" t="s">
        <v>26</v>
      </c>
      <c r="E65" s="25" t="s">
        <v>15</v>
      </c>
      <c r="F65" s="35" t="s">
        <v>154</v>
      </c>
    </row>
    <row r="66" spans="1:15" ht="32.25" customHeight="1" x14ac:dyDescent="0.25">
      <c r="A66" s="10" t="s">
        <v>86</v>
      </c>
      <c r="B66" s="5">
        <f>B57-B34</f>
        <v>3.3754005143401287</v>
      </c>
      <c r="C66" s="5">
        <f>C57-C34</f>
        <v>0.27811139666968643</v>
      </c>
      <c r="D66" s="5">
        <f>D57-D34</f>
        <v>1.8177030336778444</v>
      </c>
      <c r="E66" s="25" t="s">
        <v>15</v>
      </c>
      <c r="F66" s="35" t="s">
        <v>155</v>
      </c>
    </row>
    <row r="67" spans="1:15" ht="33.75" customHeight="1" x14ac:dyDescent="0.25">
      <c r="A67" s="10" t="s">
        <v>87</v>
      </c>
      <c r="B67" s="5">
        <f>1/B56*1000/2</f>
        <v>3.3997239674229203</v>
      </c>
      <c r="C67" s="5">
        <f>1/C56*1000/2</f>
        <v>3.7471772833042465</v>
      </c>
      <c r="D67" s="5" t="s">
        <v>26</v>
      </c>
      <c r="E67" s="25" t="s">
        <v>0</v>
      </c>
      <c r="F67" s="35" t="s">
        <v>156</v>
      </c>
    </row>
    <row r="68" spans="1:15" ht="31.5" customHeight="1" x14ac:dyDescent="0.25">
      <c r="A68" s="84" t="s">
        <v>88</v>
      </c>
      <c r="B68" s="85">
        <f>1/B57*1000/2</f>
        <v>3.7261877826013268</v>
      </c>
      <c r="C68" s="85">
        <f t="shared" ref="C68:D68" si="12">1/C57*1000/2</f>
        <v>3.8142284198985155</v>
      </c>
      <c r="D68" s="85">
        <f t="shared" si="12"/>
        <v>3.7699514397307787</v>
      </c>
      <c r="E68" s="109" t="s">
        <v>0</v>
      </c>
      <c r="F68" s="50" t="s">
        <v>157</v>
      </c>
    </row>
    <row r="69" spans="1:15" ht="30.75" customHeight="1" x14ac:dyDescent="0.3">
      <c r="A69" s="10" t="s">
        <v>97</v>
      </c>
      <c r="B69" s="25" t="s">
        <v>26</v>
      </c>
      <c r="C69" s="25" t="s">
        <v>26</v>
      </c>
      <c r="D69" s="68">
        <f>1/D61*1000/2</f>
        <v>3.7699514397307796</v>
      </c>
      <c r="E69" s="25" t="s">
        <v>3</v>
      </c>
      <c r="F69" s="35" t="s">
        <v>158</v>
      </c>
      <c r="G69" s="98"/>
    </row>
    <row r="70" spans="1:15" ht="33" customHeight="1" x14ac:dyDescent="0.3">
      <c r="A70" s="10" t="s">
        <v>19</v>
      </c>
      <c r="B70" s="5">
        <f>(B38-B51)*1000</f>
        <v>506.45641541033149</v>
      </c>
      <c r="C70" s="5">
        <f>(C38-C51)*1000</f>
        <v>99.242919191599555</v>
      </c>
      <c r="D70" s="5" t="s">
        <v>26</v>
      </c>
      <c r="E70" s="25" t="s">
        <v>3</v>
      </c>
      <c r="F70" s="35" t="s">
        <v>159</v>
      </c>
      <c r="G70" s="98"/>
    </row>
    <row r="71" spans="1:15" ht="31.5" customHeight="1" x14ac:dyDescent="0.3">
      <c r="A71" s="10" t="s">
        <v>98</v>
      </c>
      <c r="B71" s="5">
        <f>1/B50*1000</f>
        <v>6.6317626527050608</v>
      </c>
      <c r="C71" s="5">
        <f>1/C50*1000</f>
        <v>7.4461896451425247</v>
      </c>
      <c r="D71" s="68">
        <f>1/D50*1000/2</f>
        <v>3.3740546829552063</v>
      </c>
      <c r="E71" s="25" t="s">
        <v>0</v>
      </c>
      <c r="F71" s="35" t="s">
        <v>160</v>
      </c>
      <c r="G71" s="98"/>
    </row>
    <row r="72" spans="1:15" ht="15" customHeight="1" x14ac:dyDescent="0.25">
      <c r="A72" s="86"/>
    </row>
    <row r="73" spans="1:15" ht="15" customHeight="1" x14ac:dyDescent="0.25">
      <c r="A73" s="86"/>
      <c r="F73" s="67"/>
    </row>
    <row r="74" spans="1:15" ht="15" customHeight="1" x14ac:dyDescent="0.25">
      <c r="A74" s="86"/>
      <c r="B74" s="87"/>
      <c r="C74" s="87"/>
      <c r="D74" s="87"/>
      <c r="E74" s="90"/>
      <c r="F74" s="88"/>
      <c r="O74" s="31"/>
    </row>
    <row r="75" spans="1:15" ht="15" customHeight="1" x14ac:dyDescent="0.25">
      <c r="F75" s="51"/>
      <c r="O75" s="31"/>
    </row>
    <row r="76" spans="1:15" ht="15" customHeight="1" x14ac:dyDescent="0.25">
      <c r="D76" s="89"/>
      <c r="O76" s="31"/>
    </row>
    <row r="77" spans="1:15" ht="15" customHeight="1" x14ac:dyDescent="0.25">
      <c r="A77" s="90"/>
      <c r="B77" s="91"/>
    </row>
    <row r="78" spans="1:15" ht="15" customHeight="1" x14ac:dyDescent="0.25">
      <c r="B78" s="91"/>
      <c r="D78" s="89"/>
      <c r="E78" s="103"/>
      <c r="F78" s="67"/>
    </row>
    <row r="79" spans="1:15" ht="15" customHeight="1" x14ac:dyDescent="0.25">
      <c r="A79" s="51"/>
      <c r="B79" s="91"/>
      <c r="D79" s="89"/>
      <c r="E79" s="110"/>
    </row>
    <row r="80" spans="1:15" ht="15" customHeight="1" x14ac:dyDescent="0.25">
      <c r="B80" s="91"/>
      <c r="D80" s="89"/>
      <c r="E80" s="110"/>
    </row>
    <row r="81" spans="1:6" ht="15" customHeight="1" x14ac:dyDescent="0.25">
      <c r="B81" s="91"/>
      <c r="D81" s="89"/>
      <c r="E81" s="110"/>
    </row>
    <row r="82" spans="1:6" ht="15" customHeight="1" x14ac:dyDescent="0.25">
      <c r="A82" s="92"/>
      <c r="B82" s="91"/>
      <c r="E82" s="110"/>
    </row>
    <row r="83" spans="1:6" ht="15" customHeight="1" x14ac:dyDescent="0.25">
      <c r="A83" s="92"/>
      <c r="B83" s="91"/>
      <c r="E83" s="110"/>
      <c r="F83" s="93"/>
    </row>
    <row r="84" spans="1:6" ht="15" customHeight="1" x14ac:dyDescent="0.25">
      <c r="B84" s="91"/>
      <c r="E84" s="110"/>
      <c r="F84" s="93"/>
    </row>
    <row r="85" spans="1:6" ht="15" customHeight="1" x14ac:dyDescent="0.25">
      <c r="B85" s="91"/>
      <c r="E85" s="110"/>
      <c r="F85" s="93"/>
    </row>
    <row r="86" spans="1:6" ht="15" customHeight="1" x14ac:dyDescent="0.25">
      <c r="B86" s="91"/>
      <c r="E86" s="110"/>
      <c r="F86" s="93"/>
    </row>
    <row r="87" spans="1:6" ht="15" customHeight="1" x14ac:dyDescent="0.25">
      <c r="B87" s="91"/>
      <c r="E87" s="110"/>
      <c r="F87" s="93"/>
    </row>
    <row r="88" spans="1:6" ht="15" customHeight="1" x14ac:dyDescent="0.25">
      <c r="B88" s="91"/>
      <c r="E88" s="110"/>
      <c r="F88" s="93"/>
    </row>
    <row r="89" spans="1:6" ht="15" customHeight="1" x14ac:dyDescent="0.25">
      <c r="B89" s="91"/>
      <c r="E89" s="110"/>
      <c r="F89" s="93"/>
    </row>
    <row r="90" spans="1:6" ht="15" customHeight="1" x14ac:dyDescent="0.25">
      <c r="B90" s="91"/>
      <c r="E90" s="110"/>
      <c r="F90" s="93"/>
    </row>
    <row r="91" spans="1:6" ht="15" customHeight="1" x14ac:dyDescent="0.25">
      <c r="B91" s="91"/>
      <c r="E91" s="110"/>
      <c r="F91" s="93"/>
    </row>
    <row r="92" spans="1:6" ht="15" customHeight="1" x14ac:dyDescent="0.25">
      <c r="B92" s="91"/>
      <c r="E92" s="110"/>
      <c r="F92" s="93"/>
    </row>
    <row r="93" spans="1:6" ht="15" customHeight="1" x14ac:dyDescent="0.25">
      <c r="B93" s="91"/>
      <c r="E93" s="110"/>
      <c r="F93" s="93"/>
    </row>
    <row r="94" spans="1:6" ht="15" customHeight="1" x14ac:dyDescent="0.25">
      <c r="B94" s="91"/>
      <c r="E94" s="110"/>
      <c r="F94" s="93"/>
    </row>
    <row r="95" spans="1:6" ht="15" customHeight="1" x14ac:dyDescent="0.25">
      <c r="B95" s="91"/>
      <c r="E95" s="110"/>
    </row>
    <row r="96" spans="1:6" ht="15" customHeight="1" x14ac:dyDescent="0.25">
      <c r="B96" s="91"/>
      <c r="E96" s="111"/>
      <c r="F96" s="93"/>
    </row>
    <row r="97" spans="1:6" ht="15" customHeight="1" x14ac:dyDescent="0.25">
      <c r="B97" s="91"/>
      <c r="E97" s="110"/>
      <c r="F97" s="93"/>
    </row>
    <row r="98" spans="1:6" ht="15" customHeight="1" x14ac:dyDescent="0.25">
      <c r="B98" s="91"/>
      <c r="E98" s="110"/>
      <c r="F98" s="93"/>
    </row>
    <row r="99" spans="1:6" ht="15" customHeight="1" x14ac:dyDescent="0.25">
      <c r="B99" s="91"/>
      <c r="E99" s="110"/>
      <c r="F99" s="93"/>
    </row>
    <row r="100" spans="1:6" ht="15" customHeight="1" x14ac:dyDescent="0.25">
      <c r="B100" s="91"/>
      <c r="E100" s="110"/>
      <c r="F100" s="93"/>
    </row>
    <row r="101" spans="1:6" ht="15" customHeight="1" x14ac:dyDescent="0.25">
      <c r="B101" s="91"/>
      <c r="E101" s="110"/>
      <c r="F101" s="93"/>
    </row>
    <row r="102" spans="1:6" ht="15" customHeight="1" x14ac:dyDescent="0.25">
      <c r="B102" s="91"/>
      <c r="E102" s="110"/>
      <c r="F102" s="93"/>
    </row>
    <row r="103" spans="1:6" ht="15" customHeight="1" x14ac:dyDescent="0.25">
      <c r="B103" s="91"/>
      <c r="E103" s="110"/>
      <c r="F103" s="94"/>
    </row>
    <row r="104" spans="1:6" ht="15" customHeight="1" x14ac:dyDescent="0.25">
      <c r="B104" s="91"/>
      <c r="E104" s="110"/>
      <c r="F104" s="94"/>
    </row>
    <row r="105" spans="1:6" ht="15" customHeight="1" x14ac:dyDescent="0.25">
      <c r="B105" s="91"/>
      <c r="E105" s="110"/>
      <c r="F105" s="94"/>
    </row>
    <row r="106" spans="1:6" ht="15" customHeight="1" x14ac:dyDescent="0.25">
      <c r="B106" s="91"/>
      <c r="E106" s="110"/>
      <c r="F106" s="94"/>
    </row>
    <row r="107" spans="1:6" ht="15" customHeight="1" x14ac:dyDescent="0.25">
      <c r="A107" s="51"/>
      <c r="B107" s="91"/>
      <c r="E107" s="110"/>
    </row>
    <row r="108" spans="1:6" ht="15" customHeight="1" x14ac:dyDescent="0.25">
      <c r="B108" s="91"/>
      <c r="E108" s="110"/>
    </row>
    <row r="109" spans="1:6" ht="15" customHeight="1" x14ac:dyDescent="0.25">
      <c r="B109" s="91"/>
      <c r="E109" s="110"/>
    </row>
    <row r="110" spans="1:6" ht="15" customHeight="1" x14ac:dyDescent="0.25">
      <c r="B110" s="91"/>
      <c r="E110" s="110"/>
    </row>
    <row r="111" spans="1:6" ht="15" customHeight="1" x14ac:dyDescent="0.25">
      <c r="B111" s="91"/>
      <c r="E111" s="110"/>
    </row>
    <row r="112" spans="1:6" ht="15" customHeight="1" x14ac:dyDescent="0.25">
      <c r="B112" s="91"/>
      <c r="E112" s="110"/>
    </row>
    <row r="113" spans="2:12" ht="15" customHeight="1" x14ac:dyDescent="0.25">
      <c r="B113" s="91"/>
      <c r="E113" s="110"/>
    </row>
    <row r="114" spans="2:12" ht="15" customHeight="1" x14ac:dyDescent="0.25">
      <c r="B114" s="91"/>
      <c r="E114" s="110"/>
    </row>
    <row r="115" spans="2:12" ht="15" customHeight="1" x14ac:dyDescent="0.25">
      <c r="B115" s="91"/>
      <c r="E115" s="110"/>
    </row>
    <row r="116" spans="2:12" ht="15" customHeight="1" x14ac:dyDescent="0.25">
      <c r="B116" s="91"/>
      <c r="E116" s="110"/>
    </row>
    <row r="117" spans="2:12" ht="15" customHeight="1" x14ac:dyDescent="0.25">
      <c r="B117" s="91"/>
      <c r="E117" s="110"/>
    </row>
    <row r="118" spans="2:12" ht="15" customHeight="1" x14ac:dyDescent="0.25">
      <c r="B118" s="91"/>
      <c r="E118" s="110"/>
    </row>
    <row r="119" spans="2:12" ht="15" customHeight="1" x14ac:dyDescent="0.25">
      <c r="B119" s="91"/>
      <c r="E119" s="110"/>
    </row>
    <row r="120" spans="2:12" ht="15" customHeight="1" x14ac:dyDescent="0.25">
      <c r="B120" s="91"/>
      <c r="E120" s="110"/>
    </row>
    <row r="121" spans="2:12" ht="15" customHeight="1" x14ac:dyDescent="0.25">
      <c r="B121" s="91"/>
      <c r="E121" s="110"/>
    </row>
    <row r="122" spans="2:12" ht="15" customHeight="1" x14ac:dyDescent="0.25">
      <c r="B122" s="91"/>
      <c r="E122" s="110"/>
    </row>
    <row r="123" spans="2:12" ht="18" customHeight="1" x14ac:dyDescent="0.25">
      <c r="B123" s="91"/>
      <c r="E123" s="110"/>
    </row>
    <row r="124" spans="2:12" ht="18" customHeight="1" x14ac:dyDescent="0.25">
      <c r="B124" s="91"/>
      <c r="E124" s="110"/>
    </row>
    <row r="125" spans="2:12" ht="18.75" customHeight="1" x14ac:dyDescent="0.25">
      <c r="B125" s="91"/>
      <c r="E125" s="110"/>
    </row>
    <row r="126" spans="2:12" ht="17.25" customHeight="1" x14ac:dyDescent="0.25">
      <c r="B126" s="91"/>
      <c r="E126" s="110"/>
      <c r="L126" s="31"/>
    </row>
    <row r="127" spans="2:12" ht="19.5" customHeight="1" x14ac:dyDescent="0.25">
      <c r="B127" s="91"/>
      <c r="E127" s="110"/>
      <c r="K127" s="104"/>
    </row>
    <row r="128" spans="2:12" ht="17.25" customHeight="1" x14ac:dyDescent="0.25">
      <c r="B128" s="91"/>
      <c r="E128" s="110"/>
    </row>
    <row r="129" spans="2:8" ht="17.25" customHeight="1" x14ac:dyDescent="0.25">
      <c r="B129" s="91"/>
      <c r="E129" s="110"/>
    </row>
    <row r="130" spans="2:8" ht="18.75" customHeight="1" x14ac:dyDescent="0.25">
      <c r="B130" s="91"/>
      <c r="E130" s="110"/>
    </row>
    <row r="131" spans="2:8" ht="18.75" customHeight="1" x14ac:dyDescent="0.25">
      <c r="B131" s="91"/>
      <c r="E131" s="110"/>
    </row>
    <row r="132" spans="2:8" ht="19.5" customHeight="1" x14ac:dyDescent="0.25">
      <c r="B132" s="91"/>
      <c r="E132" s="110"/>
    </row>
    <row r="133" spans="2:8" ht="19.5" customHeight="1" x14ac:dyDescent="0.25">
      <c r="B133" s="91"/>
      <c r="E133" s="110"/>
    </row>
    <row r="134" spans="2:8" ht="15.75" customHeight="1" x14ac:dyDescent="0.25">
      <c r="B134" s="91"/>
      <c r="E134" s="110"/>
    </row>
    <row r="135" spans="2:8" ht="18" customHeight="1" x14ac:dyDescent="0.25">
      <c r="B135" s="95"/>
      <c r="E135" s="110"/>
    </row>
    <row r="136" spans="2:8" ht="17.25" customHeight="1" x14ac:dyDescent="0.25">
      <c r="B136" s="91"/>
      <c r="E136" s="110"/>
    </row>
    <row r="137" spans="2:8" ht="17.25" customHeight="1" x14ac:dyDescent="0.25">
      <c r="B137" s="91"/>
      <c r="E137" s="110"/>
    </row>
    <row r="138" spans="2:8" ht="18.75" customHeight="1" x14ac:dyDescent="0.25">
      <c r="B138" s="91"/>
      <c r="E138" s="110"/>
    </row>
    <row r="139" spans="2:8" x14ac:dyDescent="0.25">
      <c r="B139" s="91"/>
      <c r="E139" s="110"/>
    </row>
    <row r="140" spans="2:8" x14ac:dyDescent="0.25">
      <c r="B140" s="91"/>
      <c r="E140" s="110"/>
      <c r="H140" s="17"/>
    </row>
    <row r="141" spans="2:8" x14ac:dyDescent="0.25">
      <c r="B141" s="91"/>
      <c r="E141" s="110"/>
    </row>
    <row r="142" spans="2:8" ht="16.5" customHeight="1" x14ac:dyDescent="0.25">
      <c r="B142" s="91"/>
      <c r="E142" s="110"/>
      <c r="G142" s="96"/>
    </row>
    <row r="143" spans="2:8" x14ac:dyDescent="0.25">
      <c r="B143" s="91"/>
      <c r="E143" s="110"/>
    </row>
    <row r="144" spans="2:8" x14ac:dyDescent="0.25">
      <c r="B144" s="91"/>
      <c r="E144" s="110"/>
    </row>
    <row r="145" spans="2:5" x14ac:dyDescent="0.25">
      <c r="B145" s="91"/>
      <c r="E145" s="110"/>
    </row>
    <row r="146" spans="2:5" x14ac:dyDescent="0.25">
      <c r="B146" s="91"/>
      <c r="E146" s="110"/>
    </row>
    <row r="147" spans="2:5" x14ac:dyDescent="0.25">
      <c r="B147" s="91"/>
      <c r="E147" s="110"/>
    </row>
    <row r="148" spans="2:5" x14ac:dyDescent="0.25">
      <c r="B148" s="91"/>
      <c r="E148" s="110"/>
    </row>
    <row r="149" spans="2:5" x14ac:dyDescent="0.25">
      <c r="B149" s="91"/>
      <c r="E149" s="110"/>
    </row>
    <row r="150" spans="2:5" x14ac:dyDescent="0.25">
      <c r="B150" s="91"/>
      <c r="E150" s="110"/>
    </row>
    <row r="167" spans="2:8" x14ac:dyDescent="0.25">
      <c r="B167" s="103"/>
    </row>
    <row r="171" spans="2:8" ht="18.75" x14ac:dyDescent="0.25">
      <c r="G171" s="96"/>
      <c r="H171" s="17"/>
    </row>
    <row r="231" spans="7:8" ht="18.75" x14ac:dyDescent="0.25">
      <c r="G231" s="96"/>
      <c r="H231" s="17"/>
    </row>
  </sheetData>
  <mergeCells count="6">
    <mergeCell ref="A1:G1"/>
    <mergeCell ref="A30:G30"/>
    <mergeCell ref="B7:D7"/>
    <mergeCell ref="F2:G2"/>
    <mergeCell ref="D5:E5"/>
    <mergeCell ref="B3:E3"/>
  </mergeCells>
  <pageMargins left="0.7" right="0.7" top="0.75" bottom="0.7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7"/>
  <sheetViews>
    <sheetView topLeftCell="A94" workbookViewId="0">
      <selection activeCell="K11" sqref="K11"/>
    </sheetView>
  </sheetViews>
  <sheetFormatPr defaultRowHeight="15" x14ac:dyDescent="0.25"/>
  <cols>
    <col min="2" max="2" width="17" customWidth="1"/>
    <col min="3" max="3" width="21" customWidth="1"/>
    <col min="4" max="4" width="20.42578125" customWidth="1"/>
    <col min="5" max="5" width="20" customWidth="1"/>
    <col min="6" max="6" width="11.7109375" customWidth="1"/>
    <col min="7" max="7" width="11.28515625" customWidth="1"/>
  </cols>
  <sheetData>
    <row r="1" spans="1:7" x14ac:dyDescent="0.25">
      <c r="B1" s="31">
        <f>[1]EQUATIONS!B25</f>
        <v>0.78332220343173153</v>
      </c>
      <c r="C1" s="31">
        <f>[1]EQUATIONS!B26</f>
        <v>0.21667779656826844</v>
      </c>
      <c r="D1" s="31">
        <f>[1]EQUATIONS!B27</f>
        <v>-0.88505491548927717</v>
      </c>
      <c r="E1" s="31">
        <f>[1]EQUATIONS!B28</f>
        <v>1.8850549154892771</v>
      </c>
      <c r="F1" s="31">
        <f>[1]EQUATIONS!B17</f>
        <v>128382.1021151411</v>
      </c>
      <c r="G1" s="31">
        <f>[1]EQUATIONS!B22</f>
        <v>2105416.8056261423</v>
      </c>
    </row>
    <row r="2" spans="1:7" ht="15.75" x14ac:dyDescent="0.25">
      <c r="A2" s="99" t="s">
        <v>100</v>
      </c>
      <c r="B2" s="7" t="s">
        <v>31</v>
      </c>
      <c r="C2" s="7" t="s">
        <v>62</v>
      </c>
      <c r="D2" s="7" t="s">
        <v>77</v>
      </c>
      <c r="E2" s="7" t="s">
        <v>63</v>
      </c>
      <c r="F2" s="12" t="s">
        <v>108</v>
      </c>
      <c r="G2" s="12" t="s">
        <v>109</v>
      </c>
    </row>
    <row r="3" spans="1:7" ht="15.75" x14ac:dyDescent="0.25">
      <c r="A3" s="25">
        <v>0</v>
      </c>
      <c r="B3" s="27">
        <v>0.78332220343173153</v>
      </c>
      <c r="C3" s="27">
        <v>0.21667779656826844</v>
      </c>
      <c r="D3" s="27">
        <v>-0.88505491548927717</v>
      </c>
      <c r="E3" s="27">
        <v>1.8850549154892771</v>
      </c>
      <c r="F3" s="26">
        <v>128382.1021151411</v>
      </c>
      <c r="G3" s="26">
        <v>2105416.8056261423</v>
      </c>
    </row>
    <row r="4" spans="1:7" ht="15.75" x14ac:dyDescent="0.25">
      <c r="A4" s="25">
        <f t="shared" ref="A4:A67" si="0">A3+5</f>
        <v>5</v>
      </c>
      <c r="B4" s="27">
        <v>1.1668374314553449</v>
      </c>
      <c r="C4" s="27">
        <v>-0.16683743145534499</v>
      </c>
      <c r="D4" s="27">
        <v>-1.0802024955791136</v>
      </c>
      <c r="E4" s="27">
        <v>2.0802024955791136</v>
      </c>
      <c r="F4" s="26">
        <v>139135.24488553492</v>
      </c>
      <c r="G4" s="26">
        <v>-3608734.1365631297</v>
      </c>
    </row>
    <row r="5" spans="1:7" ht="15.75" x14ac:dyDescent="0.25">
      <c r="A5" s="25">
        <f t="shared" si="0"/>
        <v>10</v>
      </c>
      <c r="B5" s="27">
        <v>1.6487372311519155</v>
      </c>
      <c r="C5" s="27">
        <v>-0.64873723115191539</v>
      </c>
      <c r="D5" s="27">
        <v>-1.2840316316788756</v>
      </c>
      <c r="E5" s="27">
        <v>2.2840316316788756</v>
      </c>
      <c r="F5" s="26">
        <v>148722.39270885146</v>
      </c>
      <c r="G5" s="26">
        <v>-1195946.5474959221</v>
      </c>
    </row>
    <row r="6" spans="1:7" ht="15.75" x14ac:dyDescent="0.25">
      <c r="A6" s="25">
        <f t="shared" si="0"/>
        <v>15</v>
      </c>
      <c r="B6" s="27">
        <v>2.1963448703021942</v>
      </c>
      <c r="C6" s="27">
        <v>-1.1963448703021944</v>
      </c>
      <c r="D6" s="27">
        <v>-1.4820070412458217</v>
      </c>
      <c r="E6" s="27">
        <v>2.4820070412458217</v>
      </c>
      <c r="F6" s="26">
        <v>156711.85783348663</v>
      </c>
      <c r="G6" s="26">
        <v>-806959.03027495404</v>
      </c>
    </row>
    <row r="7" spans="1:7" ht="15.75" x14ac:dyDescent="0.25">
      <c r="A7" s="25">
        <f t="shared" si="0"/>
        <v>20</v>
      </c>
      <c r="B7" s="27">
        <v>2.7296978898361259</v>
      </c>
      <c r="C7" s="27">
        <v>-1.7296978898361259</v>
      </c>
      <c r="D7" s="27">
        <v>-1.6521797389618738</v>
      </c>
      <c r="E7" s="27">
        <v>2.6521797389618738</v>
      </c>
      <c r="F7" s="26">
        <v>162719.90721055775</v>
      </c>
      <c r="G7" s="26">
        <v>-661723.16502280405</v>
      </c>
    </row>
    <row r="8" spans="1:7" ht="15.75" x14ac:dyDescent="0.25">
      <c r="A8" s="25">
        <f t="shared" si="0"/>
        <v>25</v>
      </c>
      <c r="B8" s="27">
        <v>3.1283574298800261</v>
      </c>
      <c r="C8" s="27">
        <v>-2.128357429880027</v>
      </c>
      <c r="D8" s="27">
        <v>-1.7687163226136708</v>
      </c>
      <c r="E8" s="27">
        <v>2.7687163226136708</v>
      </c>
      <c r="F8" s="26">
        <v>166444.13696393781</v>
      </c>
      <c r="G8" s="26">
        <v>-599488.5047432509</v>
      </c>
    </row>
    <row r="9" spans="1:7" ht="15.75" x14ac:dyDescent="0.25">
      <c r="A9" s="25">
        <f t="shared" si="0"/>
        <v>30</v>
      </c>
      <c r="B9" s="27">
        <v>3.2756378726912412</v>
      </c>
      <c r="C9" s="27">
        <v>-2.2756378726912412</v>
      </c>
      <c r="D9" s="27">
        <v>-1.8098723360202069</v>
      </c>
      <c r="E9" s="27">
        <v>2.8098723360202071</v>
      </c>
      <c r="F9" s="26">
        <v>167691.28966038828</v>
      </c>
      <c r="G9" s="26">
        <v>-581809.12577376852</v>
      </c>
    </row>
    <row r="10" spans="1:7" ht="15.75" x14ac:dyDescent="0.25">
      <c r="A10" s="25">
        <f t="shared" si="0"/>
        <v>35</v>
      </c>
      <c r="B10" s="27">
        <v>3.1227817777490392</v>
      </c>
      <c r="C10" s="27">
        <v>-2.1227817777490388</v>
      </c>
      <c r="D10" s="27">
        <v>-1.7671394335900716</v>
      </c>
      <c r="E10" s="27">
        <v>2.7671394335900716</v>
      </c>
      <c r="F10" s="26">
        <v>166395.67113350934</v>
      </c>
      <c r="G10" s="26">
        <v>-600203.8260729789</v>
      </c>
    </row>
    <row r="11" spans="1:7" ht="15.75" x14ac:dyDescent="0.25">
      <c r="A11" s="25">
        <f t="shared" si="0"/>
        <v>40</v>
      </c>
      <c r="B11" s="27">
        <v>2.7203330001279213</v>
      </c>
      <c r="C11" s="27">
        <v>-1.7203330001279218</v>
      </c>
      <c r="D11" s="27">
        <v>-1.6493432026500492</v>
      </c>
      <c r="E11" s="27">
        <v>2.6493432026500492</v>
      </c>
      <c r="F11" s="26">
        <v>162625.51866080976</v>
      </c>
      <c r="G11" s="26">
        <v>-663517.86032886768</v>
      </c>
    </row>
    <row r="12" spans="1:7" ht="15.75" x14ac:dyDescent="0.25">
      <c r="A12" s="25">
        <f t="shared" si="0"/>
        <v>45</v>
      </c>
      <c r="B12" s="27">
        <v>2.1856603872269029</v>
      </c>
      <c r="C12" s="27">
        <v>-1.1856603872269036</v>
      </c>
      <c r="D12" s="27">
        <v>-1.4783979123452871</v>
      </c>
      <c r="E12" s="27">
        <v>2.4783979123452871</v>
      </c>
      <c r="F12" s="26">
        <v>156576.3873459106</v>
      </c>
      <c r="G12" s="26">
        <v>-811162.80298603745</v>
      </c>
    </row>
    <row r="13" spans="1:7" ht="15.75" x14ac:dyDescent="0.25">
      <c r="A13" s="25">
        <f t="shared" si="0"/>
        <v>50</v>
      </c>
      <c r="B13" s="27">
        <v>1.6387211181047725</v>
      </c>
      <c r="C13" s="27">
        <v>-0.63872111810477239</v>
      </c>
      <c r="D13" s="27">
        <v>-1.2801254306140366</v>
      </c>
      <c r="E13" s="27">
        <v>2.2801254306140364</v>
      </c>
      <c r="F13" s="26">
        <v>148552.5236450641</v>
      </c>
      <c r="G13" s="26">
        <v>-1209166.8585837816</v>
      </c>
    </row>
    <row r="14" spans="1:7" ht="15.75" x14ac:dyDescent="0.25">
      <c r="A14" s="25">
        <f t="shared" si="0"/>
        <v>55</v>
      </c>
      <c r="B14" s="27">
        <v>1.1585315418734405</v>
      </c>
      <c r="C14" s="27">
        <v>-0.15853154187344054</v>
      </c>
      <c r="D14" s="27">
        <v>-1.0763510309715139</v>
      </c>
      <c r="E14" s="27">
        <v>2.0763510309715136</v>
      </c>
      <c r="F14" s="26">
        <v>138938.90289373268</v>
      </c>
      <c r="G14" s="26">
        <v>-3778415.7017222964</v>
      </c>
    </row>
    <row r="15" spans="1:7" ht="15.75" x14ac:dyDescent="0.25">
      <c r="A15" s="25">
        <f t="shared" si="0"/>
        <v>60</v>
      </c>
      <c r="B15" s="27">
        <v>0.77697466327160714</v>
      </c>
      <c r="C15" s="27">
        <v>0.22302533672839264</v>
      </c>
      <c r="D15" s="27">
        <v>-0.88146166296192774</v>
      </c>
      <c r="E15" s="27">
        <v>1.8814616629619278</v>
      </c>
      <c r="F15" s="26">
        <v>128167.79029219285</v>
      </c>
      <c r="G15" s="26">
        <v>2034302.0653635</v>
      </c>
    </row>
    <row r="16" spans="1:7" ht="15.75" x14ac:dyDescent="0.25">
      <c r="A16" s="25">
        <f t="shared" si="0"/>
        <v>65</v>
      </c>
      <c r="B16" s="27">
        <v>0.49376170785597451</v>
      </c>
      <c r="C16" s="27">
        <v>0.50623829214402527</v>
      </c>
      <c r="D16" s="27">
        <v>-0.70268179701481848</v>
      </c>
      <c r="E16" s="27">
        <v>1.7026817970148185</v>
      </c>
      <c r="F16" s="26">
        <v>116684.14338507033</v>
      </c>
      <c r="G16" s="26">
        <v>668226.71786405367</v>
      </c>
    </row>
    <row r="17" spans="1:7" ht="15.75" x14ac:dyDescent="0.25">
      <c r="A17" s="25">
        <f t="shared" si="0"/>
        <v>70</v>
      </c>
      <c r="B17" s="27">
        <v>0.29370997760176254</v>
      </c>
      <c r="C17" s="27">
        <v>0.70629002239823724</v>
      </c>
      <c r="D17" s="27">
        <v>-0.54195016154787012</v>
      </c>
      <c r="E17" s="27">
        <v>1.5419501615478701</v>
      </c>
      <c r="F17" s="26">
        <v>104913.88356034194</v>
      </c>
      <c r="G17" s="26">
        <v>353175.49778241059</v>
      </c>
    </row>
    <row r="18" spans="1:7" ht="15.75" x14ac:dyDescent="0.25">
      <c r="A18" s="25">
        <f t="shared" si="0"/>
        <v>75</v>
      </c>
      <c r="B18" s="27">
        <v>0.15829129105606882</v>
      </c>
      <c r="C18" s="27">
        <v>0.84170870894393113</v>
      </c>
      <c r="D18" s="27">
        <v>-0.39785838065330337</v>
      </c>
      <c r="E18" s="27">
        <v>1.3978583806533034</v>
      </c>
      <c r="F18" s="26">
        <v>93238.163252457132</v>
      </c>
      <c r="G18" s="26">
        <v>216450.32283364798</v>
      </c>
    </row>
    <row r="19" spans="1:7" ht="15.75" x14ac:dyDescent="0.25">
      <c r="A19" s="25">
        <f t="shared" si="0"/>
        <v>80</v>
      </c>
      <c r="B19" s="27">
        <v>7.1303311943946901E-2</v>
      </c>
      <c r="C19" s="27">
        <v>0.9286966880560531</v>
      </c>
      <c r="D19" s="27">
        <v>-0.26702680004813545</v>
      </c>
      <c r="E19" s="27">
        <v>1.2670268000481355</v>
      </c>
      <c r="F19" s="26">
        <v>81975.493941519759</v>
      </c>
      <c r="G19" s="26">
        <v>141703.881912613</v>
      </c>
    </row>
    <row r="20" spans="1:7" ht="15.75" x14ac:dyDescent="0.25">
      <c r="A20" s="25">
        <f t="shared" si="0"/>
        <v>85</v>
      </c>
      <c r="B20" s="27">
        <v>2.0976186034375489E-2</v>
      </c>
      <c r="C20" s="27">
        <v>0.97902381396562455</v>
      </c>
      <c r="D20" s="27">
        <v>-0.14483157816710931</v>
      </c>
      <c r="E20" s="27">
        <v>1.1448315781671092</v>
      </c>
      <c r="F20" s="26">
        <v>71372.263092364272</v>
      </c>
      <c r="G20" s="26">
        <v>95547.518485611712</v>
      </c>
    </row>
    <row r="21" spans="1:7" ht="15.75" x14ac:dyDescent="0.25">
      <c r="A21" s="25">
        <f t="shared" si="0"/>
        <v>90</v>
      </c>
      <c r="B21" s="27">
        <v>6.5337112668765356E-4</v>
      </c>
      <c r="C21" s="27">
        <v>0.99934662887331238</v>
      </c>
      <c r="D21" s="27">
        <v>-2.5561125301669596E-2</v>
      </c>
      <c r="E21" s="27">
        <v>1.0255611253016697</v>
      </c>
      <c r="F21" s="26">
        <v>61601.005165484799</v>
      </c>
      <c r="G21" s="26">
        <v>64832.795383688521</v>
      </c>
    </row>
    <row r="22" spans="1:7" ht="15.75" x14ac:dyDescent="0.25">
      <c r="A22" s="25">
        <f t="shared" si="0"/>
        <v>95</v>
      </c>
      <c r="B22" s="27">
        <v>9.5983031572255649E-3</v>
      </c>
      <c r="C22" s="27">
        <v>0.99040169684277468</v>
      </c>
      <c r="D22" s="27">
        <v>9.7970930164133718E-2</v>
      </c>
      <c r="E22" s="27">
        <v>0.90202906983586639</v>
      </c>
      <c r="F22" s="26">
        <v>52764.966900033607</v>
      </c>
      <c r="G22" s="26">
        <v>43348.628552162685</v>
      </c>
    </row>
    <row r="23" spans="1:7" ht="15.75" x14ac:dyDescent="0.25">
      <c r="A23" s="25">
        <f t="shared" si="0"/>
        <v>100</v>
      </c>
      <c r="B23" s="27">
        <v>5.5470736536527641E-2</v>
      </c>
      <c r="C23" s="27">
        <v>0.94452926346347243</v>
      </c>
      <c r="D23" s="27">
        <v>0.23552226335641316</v>
      </c>
      <c r="E23" s="27">
        <v>0.76447773664358687</v>
      </c>
      <c r="F23" s="26">
        <v>44907.081857649471</v>
      </c>
      <c r="G23" s="26">
        <v>27786.196425584589</v>
      </c>
    </row>
    <row r="24" spans="1:7" ht="15.75" x14ac:dyDescent="0.25">
      <c r="A24" s="25">
        <f t="shared" si="0"/>
        <v>105</v>
      </c>
      <c r="B24" s="27">
        <v>0.16146353757089996</v>
      </c>
      <c r="C24" s="27">
        <v>0.83853646242910007</v>
      </c>
      <c r="D24" s="27">
        <v>0.40182525750741449</v>
      </c>
      <c r="E24" s="27">
        <v>0.59817474249258551</v>
      </c>
      <c r="F24" s="26">
        <v>38021.414505872672</v>
      </c>
      <c r="G24" s="26">
        <v>16224.168960755043</v>
      </c>
    </row>
    <row r="25" spans="1:7" ht="15.75" x14ac:dyDescent="0.25">
      <c r="A25" s="25">
        <f t="shared" si="0"/>
        <v>110</v>
      </c>
      <c r="B25" s="27">
        <v>0.38693108367232054</v>
      </c>
      <c r="C25" s="27">
        <v>0.61306891632767957</v>
      </c>
      <c r="D25" s="27">
        <v>0.62203784745971891</v>
      </c>
      <c r="E25" s="27">
        <v>0.37796215254028109</v>
      </c>
      <c r="F25" s="26">
        <v>32065.359967674998</v>
      </c>
      <c r="G25" s="26">
        <v>7471.7692280373076</v>
      </c>
    </row>
    <row r="26" spans="1:7" ht="15.75" x14ac:dyDescent="0.25">
      <c r="A26" s="25">
        <f t="shared" si="0"/>
        <v>115</v>
      </c>
      <c r="B26" s="27">
        <v>0.8944005991101075</v>
      </c>
      <c r="C26" s="27">
        <v>0.10559940088989267</v>
      </c>
      <c r="D26" s="27">
        <v>0.94572755014861842</v>
      </c>
      <c r="E26" s="27">
        <v>5.4272449851381709E-2</v>
      </c>
      <c r="F26" s="26">
        <v>26971.276996697517</v>
      </c>
      <c r="G26" s="26">
        <v>752.31358990583419</v>
      </c>
    </row>
    <row r="27" spans="1:7" ht="15.75" x14ac:dyDescent="0.25">
      <c r="A27" s="25">
        <f t="shared" si="0"/>
        <v>120</v>
      </c>
      <c r="B27" s="27">
        <v>2.2214951520247244</v>
      </c>
      <c r="C27" s="27">
        <v>-1.2214951520247241</v>
      </c>
      <c r="D27" s="27">
        <v>1.4904680982915148</v>
      </c>
      <c r="E27" s="27">
        <v>-0.49046809829151461</v>
      </c>
      <c r="F27" s="26">
        <v>22656.679350868355</v>
      </c>
      <c r="G27" s="26">
        <v>-4461.9637739765585</v>
      </c>
    </row>
    <row r="28" spans="1:7" ht="15.75" x14ac:dyDescent="0.25">
      <c r="A28" s="25">
        <f t="shared" si="0"/>
        <v>125</v>
      </c>
      <c r="B28" s="27">
        <v>6.9086999947799601</v>
      </c>
      <c r="C28" s="27">
        <v>-5.908699994779961</v>
      </c>
      <c r="D28" s="27">
        <v>2.6284406013414037</v>
      </c>
      <c r="E28" s="27">
        <v>-1.6284406013414037</v>
      </c>
      <c r="F28" s="26">
        <v>19032.53028577839</v>
      </c>
      <c r="G28" s="26">
        <v>-8541.7810207953971</v>
      </c>
    </row>
    <row r="29" spans="1:7" ht="15.75" x14ac:dyDescent="0.25">
      <c r="A29" s="25">
        <f t="shared" si="0"/>
        <v>130</v>
      </c>
      <c r="B29" s="27">
        <v>42.578737811610807</v>
      </c>
      <c r="C29" s="27">
        <v>-41.5787378116108</v>
      </c>
      <c r="D29" s="27">
        <v>6.5252385252656326</v>
      </c>
      <c r="E29" s="27">
        <v>-5.5252385252656326</v>
      </c>
      <c r="F29" s="26">
        <v>16009.524884708042</v>
      </c>
      <c r="G29" s="26">
        <v>-11754.63652975243</v>
      </c>
    </row>
    <row r="30" spans="1:7" ht="15.75" x14ac:dyDescent="0.25">
      <c r="A30" s="25">
        <f t="shared" si="0"/>
        <v>135</v>
      </c>
      <c r="B30" s="27">
        <v>1221.955004860743</v>
      </c>
      <c r="C30" s="27">
        <v>-1220.9550048607432</v>
      </c>
      <c r="D30" s="27">
        <v>-34.956473003733414</v>
      </c>
      <c r="E30" s="27">
        <v>35.956473003733414</v>
      </c>
      <c r="F30" s="26">
        <v>13502.484714551372</v>
      </c>
      <c r="G30" s="26">
        <v>-14297.766645808886</v>
      </c>
    </row>
    <row r="31" spans="1:7" ht="15.75" x14ac:dyDescent="0.25">
      <c r="A31" s="25">
        <f t="shared" si="0"/>
        <v>140</v>
      </c>
      <c r="B31" s="27">
        <v>32.262075345979987</v>
      </c>
      <c r="C31" s="27">
        <v>-31.262075345979994</v>
      </c>
      <c r="D31" s="27">
        <v>-5.6799714212291592</v>
      </c>
      <c r="E31" s="27">
        <v>6.6799714212291592</v>
      </c>
      <c r="F31" s="26">
        <v>11433.131490615297</v>
      </c>
      <c r="G31" s="26">
        <v>-16319.114955707684</v>
      </c>
    </row>
    <row r="32" spans="1:7" ht="15.75" x14ac:dyDescent="0.25">
      <c r="A32" s="25">
        <f t="shared" si="0"/>
        <v>145</v>
      </c>
      <c r="B32" s="27">
        <v>11.381695785454815</v>
      </c>
      <c r="C32" s="27">
        <v>-10.381695785454815</v>
      </c>
      <c r="D32" s="27">
        <v>-3.3736768940511799</v>
      </c>
      <c r="E32" s="27">
        <v>4.3736768940511794</v>
      </c>
      <c r="F32" s="26">
        <v>9731.567741020328</v>
      </c>
      <c r="G32" s="26">
        <v>-17931.140113662299</v>
      </c>
    </row>
    <row r="33" spans="1:7" ht="15.75" x14ac:dyDescent="0.25">
      <c r="A33" s="25">
        <f t="shared" si="0"/>
        <v>150</v>
      </c>
      <c r="B33" s="27">
        <v>6.4111270599876269</v>
      </c>
      <c r="C33" s="27">
        <v>-5.4111270599876278</v>
      </c>
      <c r="D33" s="27">
        <v>-2.5320203514165573</v>
      </c>
      <c r="E33" s="27">
        <v>3.5320203514165573</v>
      </c>
      <c r="F33" s="26">
        <v>8336.7952993844301</v>
      </c>
      <c r="G33" s="26">
        <v>-19220.195499226356</v>
      </c>
    </row>
    <row r="34" spans="1:7" ht="15.75" x14ac:dyDescent="0.25">
      <c r="A34" s="25">
        <f t="shared" si="0"/>
        <v>155</v>
      </c>
      <c r="B34" s="27">
        <v>4.4199689198361058</v>
      </c>
      <c r="C34" s="27">
        <v>-3.4199689198361063</v>
      </c>
      <c r="D34" s="27">
        <v>-2.1023722124866722</v>
      </c>
      <c r="E34" s="27">
        <v>3.1023722124866722</v>
      </c>
      <c r="F34" s="26">
        <v>7196.5689439982025</v>
      </c>
      <c r="G34" s="26">
        <v>-20253.082637797805</v>
      </c>
    </row>
    <row r="35" spans="1:7" ht="15.75" x14ac:dyDescent="0.25">
      <c r="A35" s="25">
        <f t="shared" si="0"/>
        <v>160</v>
      </c>
      <c r="B35" s="27">
        <v>3.4077768901353491</v>
      </c>
      <c r="C35" s="27">
        <v>-2.4077768901353496</v>
      </c>
      <c r="D35" s="27">
        <v>-1.8460164923790223</v>
      </c>
      <c r="E35" s="27">
        <v>2.8460164923790225</v>
      </c>
      <c r="F35" s="26">
        <v>6266.8310148126557</v>
      </c>
      <c r="G35" s="26">
        <v>-21081.745549611256</v>
      </c>
    </row>
    <row r="36" spans="1:7" ht="15.75" x14ac:dyDescent="0.25">
      <c r="A36" s="25">
        <f t="shared" si="0"/>
        <v>165</v>
      </c>
      <c r="B36" s="27">
        <v>2.8185720458049786</v>
      </c>
      <c r="C36" s="27">
        <v>-1.8185720458049783</v>
      </c>
      <c r="D36" s="27">
        <v>-1.6788603413640393</v>
      </c>
      <c r="E36" s="27">
        <v>2.6788603413640391</v>
      </c>
      <c r="F36" s="26">
        <v>5510.9166857067394</v>
      </c>
      <c r="G36" s="26">
        <v>-21746.705845620287</v>
      </c>
    </row>
    <row r="37" spans="1:7" ht="15.75" x14ac:dyDescent="0.25">
      <c r="A37" s="25">
        <f t="shared" si="0"/>
        <v>170</v>
      </c>
      <c r="B37" s="27">
        <v>2.4451020877526606</v>
      </c>
      <c r="C37" s="27">
        <v>-1.4451020877526606</v>
      </c>
      <c r="D37" s="27">
        <v>-1.563682220834099</v>
      </c>
      <c r="E37" s="27">
        <v>2.563682220834099</v>
      </c>
      <c r="F37" s="26">
        <v>4898.6671295515343</v>
      </c>
      <c r="G37" s="26">
        <v>-22279.620257016915</v>
      </c>
    </row>
    <row r="38" spans="1:7" ht="15.75" x14ac:dyDescent="0.25">
      <c r="A38" s="25">
        <f t="shared" si="0"/>
        <v>175</v>
      </c>
      <c r="B38" s="27">
        <v>2.1948094657643176</v>
      </c>
      <c r="C38" s="27">
        <v>-1.1948094657643169</v>
      </c>
      <c r="D38" s="27">
        <v>-1.4814889354174461</v>
      </c>
      <c r="E38" s="27">
        <v>2.4814889354174459</v>
      </c>
      <c r="F38" s="26">
        <v>4405.5434420344118</v>
      </c>
      <c r="G38" s="26">
        <v>-22705.209822591434</v>
      </c>
    </row>
    <row r="39" spans="1:7" ht="15.75" x14ac:dyDescent="0.25">
      <c r="A39" s="25">
        <f t="shared" si="0"/>
        <v>180</v>
      </c>
      <c r="B39" s="27">
        <v>2.0209703617427119</v>
      </c>
      <c r="C39" s="27">
        <v>-1.0209703617427117</v>
      </c>
      <c r="D39" s="27">
        <v>-1.4216083714380385</v>
      </c>
      <c r="E39" s="27">
        <v>2.4216083714380385</v>
      </c>
      <c r="F39" s="26">
        <v>4011.7993672468829</v>
      </c>
      <c r="G39" s="26">
        <v>-23042.727778669458</v>
      </c>
    </row>
    <row r="40" spans="1:7" ht="15.75" x14ac:dyDescent="0.25">
      <c r="A40" s="25">
        <f t="shared" si="0"/>
        <v>185</v>
      </c>
      <c r="B40" s="27">
        <v>1.8978542448288021</v>
      </c>
      <c r="C40" s="27">
        <v>-0.89785424482880183</v>
      </c>
      <c r="D40" s="27">
        <v>-1.3776263081216189</v>
      </c>
      <c r="E40" s="27">
        <v>2.3776263081216191</v>
      </c>
      <c r="F40" s="26">
        <v>3701.7452799617272</v>
      </c>
      <c r="G40" s="26">
        <v>-23307.081033049868</v>
      </c>
    </row>
    <row r="41" spans="1:7" ht="15.75" x14ac:dyDescent="0.25">
      <c r="A41" s="25">
        <f t="shared" si="0"/>
        <v>190</v>
      </c>
      <c r="B41" s="27">
        <v>1.8103900318849255</v>
      </c>
      <c r="C41" s="27">
        <v>-0.81039003188492587</v>
      </c>
      <c r="D41" s="27">
        <v>-1.3455073511077245</v>
      </c>
      <c r="E41" s="27">
        <v>2.3455073511077247</v>
      </c>
      <c r="F41" s="26">
        <v>3463.1182745938581</v>
      </c>
      <c r="G41" s="26">
        <v>-23509.686102981988</v>
      </c>
    </row>
    <row r="42" spans="1:7" ht="15.75" x14ac:dyDescent="0.25">
      <c r="A42" s="25">
        <f t="shared" si="0"/>
        <v>195</v>
      </c>
      <c r="B42" s="27">
        <v>1.7493924983095479</v>
      </c>
      <c r="C42" s="27">
        <v>-0.74939249830954813</v>
      </c>
      <c r="D42" s="27">
        <v>-1.3226460215452764</v>
      </c>
      <c r="E42" s="27">
        <v>2.3226460215452764</v>
      </c>
      <c r="F42" s="26">
        <v>3286.5619944254909</v>
      </c>
      <c r="G42" s="26">
        <v>-23659.117519423908</v>
      </c>
    </row>
    <row r="43" spans="1:7" ht="15.75" x14ac:dyDescent="0.25">
      <c r="A43" s="25">
        <f t="shared" si="0"/>
        <v>200</v>
      </c>
      <c r="B43" s="27">
        <v>1.7091805648153284</v>
      </c>
      <c r="C43" s="27">
        <v>-0.70918056481532821</v>
      </c>
      <c r="D43" s="27">
        <v>-1.3073563266437074</v>
      </c>
      <c r="E43" s="27">
        <v>2.3073563266437076</v>
      </c>
      <c r="F43" s="26">
        <v>3165.2134324590515</v>
      </c>
      <c r="G43" s="26">
        <v>-23761.590718866562</v>
      </c>
    </row>
    <row r="44" spans="1:7" ht="15.75" x14ac:dyDescent="0.25">
      <c r="A44" s="25">
        <f t="shared" si="0"/>
        <v>205</v>
      </c>
      <c r="B44" s="27">
        <v>1.6863273760423536</v>
      </c>
      <c r="C44" s="27">
        <v>-0.68632737604235361</v>
      </c>
      <c r="D44" s="27">
        <v>-1.2985866840693976</v>
      </c>
      <c r="E44" s="27">
        <v>2.2985866840693978</v>
      </c>
      <c r="F44" s="26">
        <v>3094.3909796170124</v>
      </c>
      <c r="G44" s="26">
        <v>-23821.309792230986</v>
      </c>
    </row>
    <row r="45" spans="1:7" ht="15.75" x14ac:dyDescent="0.25">
      <c r="A45" s="25">
        <f t="shared" si="0"/>
        <v>210</v>
      </c>
      <c r="B45" s="27">
        <v>1.6789964072966446</v>
      </c>
      <c r="C45" s="27">
        <v>-0.67899640729664468</v>
      </c>
      <c r="D45" s="27">
        <v>-1.2957609375562471</v>
      </c>
      <c r="E45" s="27">
        <v>2.2957609375562469</v>
      </c>
      <c r="F45" s="26">
        <v>3071.3773927937664</v>
      </c>
      <c r="G45" s="26">
        <v>-23840.701551496491</v>
      </c>
    </row>
    <row r="46" spans="1:7" ht="15.75" x14ac:dyDescent="0.25">
      <c r="A46" s="25">
        <f t="shared" si="0"/>
        <v>215</v>
      </c>
      <c r="B46" s="27">
        <v>1.686615425717122</v>
      </c>
      <c r="C46" s="27">
        <v>-0.68661542571712186</v>
      </c>
      <c r="D46" s="27">
        <v>-1.2986975882464409</v>
      </c>
      <c r="E46" s="27">
        <v>2.2986975882464407</v>
      </c>
      <c r="F46" s="26">
        <v>3095.2922784757866</v>
      </c>
      <c r="G46" s="26">
        <v>-23820.550200022928</v>
      </c>
    </row>
    <row r="47" spans="1:7" ht="15.75" x14ac:dyDescent="0.25">
      <c r="A47" s="25">
        <f t="shared" si="0"/>
        <v>220</v>
      </c>
      <c r="B47" s="27">
        <v>1.7097793155564946</v>
      </c>
      <c r="C47" s="27">
        <v>-0.70977931555649443</v>
      </c>
      <c r="D47" s="27">
        <v>-1.3075852995336459</v>
      </c>
      <c r="E47" s="27">
        <v>2.3075852995336459</v>
      </c>
      <c r="F47" s="26">
        <v>3167.0505359345257</v>
      </c>
      <c r="G47" s="26">
        <v>-23760.040777902126</v>
      </c>
    </row>
    <row r="48" spans="1:7" ht="15.75" x14ac:dyDescent="0.25">
      <c r="A48" s="25">
        <f t="shared" si="0"/>
        <v>225</v>
      </c>
      <c r="B48" s="27">
        <v>1.7503511432078114</v>
      </c>
      <c r="C48" s="27">
        <v>-0.75035114320781171</v>
      </c>
      <c r="D48" s="27">
        <v>-1.3230083685327962</v>
      </c>
      <c r="E48" s="27">
        <v>2.3230083685327965</v>
      </c>
      <c r="F48" s="26">
        <v>3289.4055403993166</v>
      </c>
      <c r="G48" s="26">
        <v>-23656.714011946417</v>
      </c>
    </row>
    <row r="49" spans="1:7" ht="15.75" x14ac:dyDescent="0.25">
      <c r="A49" s="25">
        <f t="shared" si="0"/>
        <v>230</v>
      </c>
      <c r="B49" s="27">
        <v>1.8117933309139846</v>
      </c>
      <c r="C49" s="27">
        <v>-0.81179333091398431</v>
      </c>
      <c r="D49" s="27">
        <v>-1.3460287258873729</v>
      </c>
      <c r="E49" s="27">
        <v>2.3460287258873729</v>
      </c>
      <c r="F49" s="26">
        <v>3467.0783329264618</v>
      </c>
      <c r="G49" s="26">
        <v>-23506.329837467412</v>
      </c>
    </row>
    <row r="50" spans="1:7" ht="15.75" x14ac:dyDescent="0.25">
      <c r="A50" s="25">
        <f t="shared" si="0"/>
        <v>235</v>
      </c>
      <c r="B50" s="27">
        <v>1.8998398313526683</v>
      </c>
      <c r="C50" s="27">
        <v>-0.89983983135266843</v>
      </c>
      <c r="D50" s="27">
        <v>-1.3783467747097129</v>
      </c>
      <c r="E50" s="27">
        <v>2.3783467747097129</v>
      </c>
      <c r="F50" s="26">
        <v>3706.9764141241149</v>
      </c>
      <c r="G50" s="26">
        <v>-23302.631310182347</v>
      </c>
    </row>
    <row r="51" spans="1:7" ht="15.75" x14ac:dyDescent="0.25">
      <c r="A51" s="25">
        <f t="shared" si="0"/>
        <v>240</v>
      </c>
      <c r="B51" s="27">
        <v>2.0237612248919907</v>
      </c>
      <c r="C51" s="27">
        <v>-1.0237612248919903</v>
      </c>
      <c r="D51" s="27">
        <v>-1.4225896192830843</v>
      </c>
      <c r="E51" s="27">
        <v>2.4225896192830843</v>
      </c>
      <c r="F51" s="26">
        <v>4018.5075739947483</v>
      </c>
      <c r="G51" s="26">
        <v>-23036.994496660176</v>
      </c>
    </row>
    <row r="52" spans="1:7" ht="15.75" x14ac:dyDescent="0.25">
      <c r="A52" s="25">
        <f t="shared" si="0"/>
        <v>245</v>
      </c>
      <c r="B52" s="27">
        <v>2.1987769813785438</v>
      </c>
      <c r="C52" s="27">
        <v>-1.198776981378544</v>
      </c>
      <c r="D52" s="27">
        <v>-1.4828273606116606</v>
      </c>
      <c r="E52" s="27">
        <v>2.4828273606116609</v>
      </c>
      <c r="F52" s="26">
        <v>4413.995090418146</v>
      </c>
      <c r="G52" s="26">
        <v>-22697.942730942741</v>
      </c>
    </row>
    <row r="53" spans="1:7" ht="15.75" x14ac:dyDescent="0.25">
      <c r="A53" s="25">
        <f t="shared" si="0"/>
        <v>250</v>
      </c>
      <c r="B53" s="27">
        <v>2.4508962632355011</v>
      </c>
      <c r="C53" s="27">
        <v>-1.4508962632355018</v>
      </c>
      <c r="D53" s="27">
        <v>-1.5655338588594949</v>
      </c>
      <c r="E53" s="27">
        <v>2.5655338588594949</v>
      </c>
      <c r="F53" s="26">
        <v>4909.199989104558</v>
      </c>
      <c r="G53" s="26">
        <v>-22270.49467446567</v>
      </c>
    </row>
    <row r="54" spans="1:7" ht="15.75" x14ac:dyDescent="0.25">
      <c r="A54" s="25">
        <f t="shared" si="0"/>
        <v>255</v>
      </c>
      <c r="B54" s="27">
        <v>2.8274153834482316</v>
      </c>
      <c r="C54" s="27">
        <v>-1.8274153834482323</v>
      </c>
      <c r="D54" s="27">
        <v>-1.6814920111163871</v>
      </c>
      <c r="E54" s="27">
        <v>2.6814920111163874</v>
      </c>
      <c r="F54" s="26">
        <v>5523.9530473888281</v>
      </c>
      <c r="G54" s="26">
        <v>-21735.303898999711</v>
      </c>
    </row>
    <row r="55" spans="1:7" ht="15.75" x14ac:dyDescent="0.25">
      <c r="A55" s="25">
        <f t="shared" si="0"/>
        <v>260</v>
      </c>
      <c r="B55" s="27">
        <v>3.4222103143791704</v>
      </c>
      <c r="C55" s="27">
        <v>-2.4222103143791704</v>
      </c>
      <c r="D55" s="27">
        <v>-1.8499217049321766</v>
      </c>
      <c r="E55" s="27">
        <v>2.8499217049321763</v>
      </c>
      <c r="F55" s="26">
        <v>6282.8927435164078</v>
      </c>
      <c r="G55" s="26">
        <v>-21067.531627442266</v>
      </c>
    </row>
    <row r="56" spans="1:7" ht="15.75" x14ac:dyDescent="0.25">
      <c r="A56" s="25">
        <f t="shared" si="0"/>
        <v>265</v>
      </c>
      <c r="B56" s="27">
        <v>4.4460770507195253</v>
      </c>
      <c r="C56" s="27">
        <v>-3.4460770507195262</v>
      </c>
      <c r="D56" s="27">
        <v>-2.108572277803046</v>
      </c>
      <c r="E56" s="27">
        <v>3.108572277803046</v>
      </c>
      <c r="F56" s="26">
        <v>7216.2940295842936</v>
      </c>
      <c r="G56" s="26">
        <v>-20235.371222972983</v>
      </c>
    </row>
    <row r="57" spans="1:7" ht="15.75" x14ac:dyDescent="0.25">
      <c r="A57" s="25">
        <f t="shared" si="0"/>
        <v>270</v>
      </c>
      <c r="B57" s="27">
        <v>6.4669344122487127</v>
      </c>
      <c r="C57" s="27">
        <v>-5.4669344122487127</v>
      </c>
      <c r="D57" s="27">
        <v>-2.5430167935443748</v>
      </c>
      <c r="E57" s="27">
        <v>3.5430167935443744</v>
      </c>
      <c r="F57" s="26">
        <v>8360.9550631152324</v>
      </c>
      <c r="G57" s="26">
        <v>-19198.108745558009</v>
      </c>
    </row>
    <row r="58" spans="1:7" ht="15.75" x14ac:dyDescent="0.25">
      <c r="A58" s="25">
        <f t="shared" si="0"/>
        <v>275</v>
      </c>
      <c r="B58" s="27">
        <v>11.543506545330358</v>
      </c>
      <c r="C58" s="27">
        <v>-10.543506545330356</v>
      </c>
      <c r="D58" s="27">
        <v>-3.3975736261824196</v>
      </c>
      <c r="E58" s="27">
        <v>4.3975736261824192</v>
      </c>
      <c r="F58" s="26">
        <v>9761.083277226875</v>
      </c>
      <c r="G58" s="26">
        <v>-17903.551287912444</v>
      </c>
    </row>
    <row r="59" spans="1:7" ht="15.75" x14ac:dyDescent="0.25">
      <c r="A59" s="25">
        <f t="shared" si="0"/>
        <v>280</v>
      </c>
      <c r="B59" s="27">
        <v>33.217005504456814</v>
      </c>
      <c r="C59" s="27">
        <v>-32.217005504456822</v>
      </c>
      <c r="D59" s="27">
        <v>-5.7634196016303392</v>
      </c>
      <c r="E59" s="27">
        <v>6.7634196016303392</v>
      </c>
      <c r="F59" s="26">
        <v>11469.087162331731</v>
      </c>
      <c r="G59" s="26">
        <v>-16284.57188612398</v>
      </c>
    </row>
    <row r="60" spans="1:7" ht="15.75" x14ac:dyDescent="0.25">
      <c r="A60" s="25">
        <f t="shared" si="0"/>
        <v>285</v>
      </c>
      <c r="B60" s="27">
        <v>1540.7497336368529</v>
      </c>
      <c r="C60" s="27">
        <v>-1539.7497336368529</v>
      </c>
      <c r="D60" s="27">
        <v>-39.252385069405058</v>
      </c>
      <c r="E60" s="27">
        <v>40.252385069405058</v>
      </c>
      <c r="F60" s="26">
        <v>13546.135585034484</v>
      </c>
      <c r="G60" s="26">
        <v>-14254.386093359986</v>
      </c>
    </row>
    <row r="61" spans="1:7" ht="15.75" x14ac:dyDescent="0.25">
      <c r="A61" s="25">
        <f t="shared" si="0"/>
        <v>290</v>
      </c>
      <c r="B61" s="27">
        <v>40.501442368744762</v>
      </c>
      <c r="C61" s="27">
        <v>-39.501442368744762</v>
      </c>
      <c r="D61" s="27">
        <v>6.3640743528611265</v>
      </c>
      <c r="E61" s="27">
        <v>-5.3640743528611265</v>
      </c>
      <c r="F61" s="26">
        <v>16062.293906900179</v>
      </c>
      <c r="G61" s="26">
        <v>-11699.955033811648</v>
      </c>
    </row>
    <row r="62" spans="1:7" ht="15.75" x14ac:dyDescent="0.25">
      <c r="A62" s="25">
        <f t="shared" si="0"/>
        <v>295</v>
      </c>
      <c r="B62" s="27">
        <v>6.7343534647248893</v>
      </c>
      <c r="C62" s="27">
        <v>-5.7343534647248893</v>
      </c>
      <c r="D62" s="27">
        <v>2.5950632872292134</v>
      </c>
      <c r="E62" s="27">
        <v>-1.5950632872292132</v>
      </c>
      <c r="F62" s="26">
        <v>19095.990007978206</v>
      </c>
      <c r="G62" s="26">
        <v>-8472.5386346390369</v>
      </c>
    </row>
    <row r="63" spans="1:7" ht="15.75" x14ac:dyDescent="0.25">
      <c r="A63" s="25">
        <f t="shared" si="0"/>
        <v>300</v>
      </c>
      <c r="B63" s="27">
        <v>2.179992241128816</v>
      </c>
      <c r="C63" s="27">
        <v>-1.1799922411288155</v>
      </c>
      <c r="D63" s="27">
        <v>1.4764796785356769</v>
      </c>
      <c r="E63" s="27">
        <v>-0.47647967853567674</v>
      </c>
      <c r="F63" s="26">
        <v>22732.512035644275</v>
      </c>
      <c r="G63" s="26">
        <v>-4373.7811058707393</v>
      </c>
    </row>
    <row r="64" spans="1:7" ht="15.75" x14ac:dyDescent="0.25">
      <c r="A64" s="25">
        <f t="shared" si="0"/>
        <v>305</v>
      </c>
      <c r="B64" s="27">
        <v>0.87988326543629003</v>
      </c>
      <c r="C64" s="27">
        <v>0.12011673456370987</v>
      </c>
      <c r="D64" s="27">
        <v>0.93802093016962573</v>
      </c>
      <c r="E64" s="27">
        <v>6.1979069830374128E-2</v>
      </c>
      <c r="F64" s="26">
        <v>27061.206697051839</v>
      </c>
      <c r="G64" s="26">
        <v>865.4335943750433</v>
      </c>
    </row>
    <row r="65" spans="1:7" ht="15.75" x14ac:dyDescent="0.25">
      <c r="A65" s="25">
        <f t="shared" si="0"/>
        <v>310</v>
      </c>
      <c r="B65" s="27">
        <v>0.38077651053494382</v>
      </c>
      <c r="C65" s="27">
        <v>0.61922348946505601</v>
      </c>
      <c r="D65" s="27">
        <v>0.61707091207975751</v>
      </c>
      <c r="E65" s="27">
        <v>0.38292908792024238</v>
      </c>
      <c r="F65" s="26">
        <v>32171.050655182513</v>
      </c>
      <c r="G65" s="26">
        <v>7618.2380084871284</v>
      </c>
    </row>
    <row r="66" spans="1:7" ht="15.75" x14ac:dyDescent="0.25">
      <c r="A66" s="25">
        <f t="shared" si="0"/>
        <v>315</v>
      </c>
      <c r="B66" s="27">
        <v>0.15859553148305955</v>
      </c>
      <c r="C66" s="27">
        <v>0.84140446851694017</v>
      </c>
      <c r="D66" s="27">
        <v>0.39824054475035509</v>
      </c>
      <c r="E66" s="27">
        <v>0.60175945524964491</v>
      </c>
      <c r="F66" s="26">
        <v>38144.330241403295</v>
      </c>
      <c r="G66" s="26">
        <v>16416.139177989298</v>
      </c>
    </row>
    <row r="67" spans="1:7" ht="15.75" x14ac:dyDescent="0.25">
      <c r="A67" s="25">
        <f t="shared" si="0"/>
        <v>320</v>
      </c>
      <c r="B67" s="27">
        <v>5.4138745679624692E-2</v>
      </c>
      <c r="C67" s="27">
        <v>0.94586125432037516</v>
      </c>
      <c r="D67" s="27">
        <v>0.23267734242857574</v>
      </c>
      <c r="E67" s="27">
        <v>0.76732265757142426</v>
      </c>
      <c r="F67" s="26">
        <v>45048.308633038359</v>
      </c>
      <c r="G67" s="26">
        <v>28041.878202530195</v>
      </c>
    </row>
    <row r="68" spans="1:7" ht="15.75" x14ac:dyDescent="0.25">
      <c r="A68" s="25">
        <f t="shared" ref="A68:A74" si="1">A67+5</f>
        <v>325</v>
      </c>
      <c r="B68" s="27">
        <v>9.1223730874323873E-3</v>
      </c>
      <c r="C68" s="27">
        <v>0.99087762691256775</v>
      </c>
      <c r="D68" s="27">
        <v>9.551111499418477E-2</v>
      </c>
      <c r="E68" s="27">
        <v>0.90448888500581526</v>
      </c>
      <c r="F68" s="26">
        <v>52925.001370575344</v>
      </c>
      <c r="G68" s="26">
        <v>43696.567586954188</v>
      </c>
    </row>
    <row r="69" spans="1:7" ht="15.75" x14ac:dyDescent="0.25">
      <c r="A69" s="25">
        <f t="shared" si="1"/>
        <v>330</v>
      </c>
      <c r="B69" s="27">
        <v>7.7610074576472574E-4</v>
      </c>
      <c r="C69" s="27">
        <v>0.99922389925423527</v>
      </c>
      <c r="D69" s="27">
        <v>-2.785858477677439E-2</v>
      </c>
      <c r="E69" s="27">
        <v>1.0278585847767743</v>
      </c>
      <c r="F69" s="26">
        <v>61779.5228904537</v>
      </c>
      <c r="G69" s="26">
        <v>65320.345344802437</v>
      </c>
    </row>
    <row r="70" spans="1:7" ht="15.75" x14ac:dyDescent="0.25">
      <c r="A70" s="25">
        <f t="shared" si="1"/>
        <v>335</v>
      </c>
      <c r="B70" s="27">
        <v>2.1645305394246354E-2</v>
      </c>
      <c r="C70" s="27">
        <v>0.97835469460575386</v>
      </c>
      <c r="D70" s="27">
        <v>-0.14712343591096</v>
      </c>
      <c r="E70" s="27">
        <v>1.1471234359109601</v>
      </c>
      <c r="F70" s="26">
        <v>71567.887425143519</v>
      </c>
      <c r="G70" s="26">
        <v>96259.182607166236</v>
      </c>
    </row>
    <row r="71" spans="1:7" ht="15.75" x14ac:dyDescent="0.25">
      <c r="A71" s="25">
        <f t="shared" si="1"/>
        <v>340</v>
      </c>
      <c r="B71" s="27">
        <v>7.2594729919014001E-2</v>
      </c>
      <c r="C71" s="27">
        <v>0.92740527008098594</v>
      </c>
      <c r="D71" s="27">
        <v>-0.26943409197615287</v>
      </c>
      <c r="E71" s="27">
        <v>1.2694340919761529</v>
      </c>
      <c r="F71" s="26">
        <v>82185.595050187418</v>
      </c>
      <c r="G71" s="26">
        <v>142806.00159438176</v>
      </c>
    </row>
    <row r="72" spans="1:7" ht="15.75" x14ac:dyDescent="0.25">
      <c r="A72" s="25">
        <f t="shared" si="1"/>
        <v>345</v>
      </c>
      <c r="B72" s="27">
        <v>0.16038383668856557</v>
      </c>
      <c r="C72" s="27">
        <v>0.8396161633114344</v>
      </c>
      <c r="D72" s="27">
        <v>-0.40047950845026459</v>
      </c>
      <c r="E72" s="27">
        <v>1.4004795084502646</v>
      </c>
      <c r="F72" s="26">
        <v>93458.723004682295</v>
      </c>
      <c r="G72" s="26">
        <v>218319.52084848579</v>
      </c>
    </row>
    <row r="73" spans="1:7" ht="15.75" x14ac:dyDescent="0.25">
      <c r="A73" s="25">
        <f t="shared" si="1"/>
        <v>350</v>
      </c>
      <c r="B73" s="27">
        <v>0.29687555225829904</v>
      </c>
      <c r="C73" s="27">
        <v>0.70312444774170091</v>
      </c>
      <c r="D73" s="27">
        <v>-0.54486287472932038</v>
      </c>
      <c r="E73" s="27">
        <v>1.5448628747293203</v>
      </c>
      <c r="F73" s="26">
        <v>105139.46394200058</v>
      </c>
      <c r="G73" s="26">
        <v>356872.78733050078</v>
      </c>
    </row>
    <row r="74" spans="1:7" ht="15.75" x14ac:dyDescent="0.25">
      <c r="A74" s="25">
        <f t="shared" si="1"/>
        <v>355</v>
      </c>
      <c r="B74" s="27">
        <v>0.49834407611019604</v>
      </c>
      <c r="C74" s="27">
        <v>0.50165592388980407</v>
      </c>
      <c r="D74" s="27">
        <v>-0.70593489509316376</v>
      </c>
      <c r="E74" s="27">
        <v>1.7059348950931637</v>
      </c>
      <c r="F74" s="26">
        <v>116907.99167185351</v>
      </c>
      <c r="G74" s="26">
        <v>678208.39392508077</v>
      </c>
    </row>
    <row r="75" spans="1:7" ht="15.75" x14ac:dyDescent="0.25">
      <c r="A75" s="25" t="s">
        <v>114</v>
      </c>
      <c r="B75" s="27">
        <v>0.78332220343172987</v>
      </c>
      <c r="C75" s="27">
        <v>0.21667779656826999</v>
      </c>
      <c r="D75" s="27">
        <v>-0.88505491548927617</v>
      </c>
      <c r="E75" s="27">
        <v>1.8850549154892762</v>
      </c>
      <c r="F75" s="26">
        <v>128382.10211514104</v>
      </c>
      <c r="G75" s="26">
        <v>2105416.8056261241</v>
      </c>
    </row>
    <row r="76" spans="1:7" ht="15.75" x14ac:dyDescent="0.25">
      <c r="A76" s="100">
        <v>365</v>
      </c>
      <c r="B76" s="27">
        <v>1.1668374314553449</v>
      </c>
      <c r="C76" s="27">
        <v>-0.16683743145534499</v>
      </c>
      <c r="D76" s="27">
        <v>-1.0802024955791136</v>
      </c>
      <c r="E76" s="27">
        <v>2.0802024955791136</v>
      </c>
      <c r="F76" s="26">
        <v>139135.24488553492</v>
      </c>
      <c r="G76" s="26">
        <v>-3608734.1365631297</v>
      </c>
    </row>
    <row r="77" spans="1:7" ht="15.75" x14ac:dyDescent="0.25">
      <c r="A77" s="100">
        <f t="shared" ref="A77:A140" si="2">A76+5</f>
        <v>370</v>
      </c>
      <c r="B77" s="27">
        <v>1.6487372311519155</v>
      </c>
      <c r="C77" s="27">
        <v>-0.64873723115191539</v>
      </c>
      <c r="D77" s="27">
        <v>-1.2840316316788756</v>
      </c>
      <c r="E77" s="27">
        <v>2.2840316316788756</v>
      </c>
      <c r="F77" s="26">
        <v>148722.39270885146</v>
      </c>
      <c r="G77" s="26">
        <v>-1195946.5474959221</v>
      </c>
    </row>
    <row r="78" spans="1:7" ht="15.75" x14ac:dyDescent="0.25">
      <c r="A78" s="100">
        <f t="shared" si="2"/>
        <v>375</v>
      </c>
      <c r="B78" s="27">
        <v>2.1963448703021942</v>
      </c>
      <c r="C78" s="27">
        <v>-1.1963448703021944</v>
      </c>
      <c r="D78" s="27">
        <v>-1.4820070412458217</v>
      </c>
      <c r="E78" s="27">
        <v>2.4820070412458217</v>
      </c>
      <c r="F78" s="26">
        <v>156711.85783348663</v>
      </c>
      <c r="G78" s="26">
        <v>-806959.03027495404</v>
      </c>
    </row>
    <row r="79" spans="1:7" ht="15.75" x14ac:dyDescent="0.25">
      <c r="A79" s="100">
        <f t="shared" si="2"/>
        <v>380</v>
      </c>
      <c r="B79" s="27">
        <v>2.7296978898361259</v>
      </c>
      <c r="C79" s="27">
        <v>-1.7296978898361259</v>
      </c>
      <c r="D79" s="27">
        <v>-1.6521797389618738</v>
      </c>
      <c r="E79" s="27">
        <v>2.6521797389618738</v>
      </c>
      <c r="F79" s="26">
        <v>162719.90721055775</v>
      </c>
      <c r="G79" s="26">
        <v>-661723.16502280405</v>
      </c>
    </row>
    <row r="80" spans="1:7" ht="15.75" x14ac:dyDescent="0.25">
      <c r="A80" s="100">
        <f t="shared" si="2"/>
        <v>385</v>
      </c>
      <c r="B80" s="27">
        <v>3.1283574298800261</v>
      </c>
      <c r="C80" s="27">
        <v>-2.128357429880027</v>
      </c>
      <c r="D80" s="27">
        <v>-1.7687163226136708</v>
      </c>
      <c r="E80" s="27">
        <v>2.7687163226136708</v>
      </c>
      <c r="F80" s="26">
        <v>166444.13696393781</v>
      </c>
      <c r="G80" s="26">
        <v>-599488.5047432509</v>
      </c>
    </row>
    <row r="81" spans="1:7" ht="15.75" x14ac:dyDescent="0.25">
      <c r="A81" s="100">
        <f t="shared" si="2"/>
        <v>390</v>
      </c>
      <c r="B81" s="27">
        <v>3.2756378726912412</v>
      </c>
      <c r="C81" s="27">
        <v>-2.2756378726912412</v>
      </c>
      <c r="D81" s="27">
        <v>-1.8098723360202069</v>
      </c>
      <c r="E81" s="27">
        <v>2.8098723360202071</v>
      </c>
      <c r="F81" s="26">
        <v>167691.28966038828</v>
      </c>
      <c r="G81" s="26">
        <v>-581809.12577376852</v>
      </c>
    </row>
    <row r="82" spans="1:7" ht="15.75" x14ac:dyDescent="0.25">
      <c r="A82" s="100">
        <f t="shared" si="2"/>
        <v>395</v>
      </c>
      <c r="B82" s="27">
        <v>3.1227817777490392</v>
      </c>
      <c r="C82" s="27">
        <v>-2.1227817777490388</v>
      </c>
      <c r="D82" s="27">
        <v>-1.7671394335900716</v>
      </c>
      <c r="E82" s="27">
        <v>2.7671394335900716</v>
      </c>
      <c r="F82" s="26">
        <v>166395.67113350934</v>
      </c>
      <c r="G82" s="26">
        <v>-600203.8260729789</v>
      </c>
    </row>
    <row r="83" spans="1:7" ht="15.75" x14ac:dyDescent="0.25">
      <c r="A83" s="100">
        <f t="shared" si="2"/>
        <v>400</v>
      </c>
      <c r="B83" s="27">
        <v>2.7203330001279213</v>
      </c>
      <c r="C83" s="27">
        <v>-1.7203330001279218</v>
      </c>
      <c r="D83" s="27">
        <v>-1.6493432026500492</v>
      </c>
      <c r="E83" s="27">
        <v>2.6493432026500492</v>
      </c>
      <c r="F83" s="26">
        <v>162625.51866080976</v>
      </c>
      <c r="G83" s="26">
        <v>-663517.86032886768</v>
      </c>
    </row>
    <row r="84" spans="1:7" ht="15.75" x14ac:dyDescent="0.25">
      <c r="A84" s="100">
        <f t="shared" si="2"/>
        <v>405</v>
      </c>
      <c r="B84" s="27">
        <v>2.1856603872269029</v>
      </c>
      <c r="C84" s="27">
        <v>-1.1856603872269036</v>
      </c>
      <c r="D84" s="27">
        <v>-1.4783979123452871</v>
      </c>
      <c r="E84" s="27">
        <v>2.4783979123452871</v>
      </c>
      <c r="F84" s="26">
        <v>156576.3873459106</v>
      </c>
      <c r="G84" s="26">
        <v>-811162.80298603745</v>
      </c>
    </row>
    <row r="85" spans="1:7" ht="15.75" x14ac:dyDescent="0.25">
      <c r="A85" s="100">
        <f t="shared" si="2"/>
        <v>410</v>
      </c>
      <c r="B85" s="27">
        <v>1.6387211181047725</v>
      </c>
      <c r="C85" s="27">
        <v>-0.63872111810477239</v>
      </c>
      <c r="D85" s="27">
        <v>-1.2801254306140366</v>
      </c>
      <c r="E85" s="27">
        <v>2.2801254306140364</v>
      </c>
      <c r="F85" s="26">
        <v>148552.5236450641</v>
      </c>
      <c r="G85" s="26">
        <v>-1209166.8585837816</v>
      </c>
    </row>
    <row r="86" spans="1:7" ht="15.75" x14ac:dyDescent="0.25">
      <c r="A86" s="100">
        <f t="shared" si="2"/>
        <v>415</v>
      </c>
      <c r="B86" s="27">
        <v>1.1585315418734405</v>
      </c>
      <c r="C86" s="27">
        <v>-0.15853154187344054</v>
      </c>
      <c r="D86" s="27">
        <v>-1.0763510309715139</v>
      </c>
      <c r="E86" s="27">
        <v>2.0763510309715136</v>
      </c>
      <c r="F86" s="26">
        <v>138938.90289373268</v>
      </c>
      <c r="G86" s="26">
        <v>-3778415.7017222964</v>
      </c>
    </row>
    <row r="87" spans="1:7" ht="15.75" x14ac:dyDescent="0.25">
      <c r="A87" s="100">
        <f t="shared" si="2"/>
        <v>420</v>
      </c>
      <c r="B87" s="27">
        <v>0.77697466327160714</v>
      </c>
      <c r="C87" s="27">
        <v>0.22302533672839264</v>
      </c>
      <c r="D87" s="27">
        <v>-0.88146166296192774</v>
      </c>
      <c r="E87" s="27">
        <v>1.8814616629619278</v>
      </c>
      <c r="F87" s="26">
        <v>128167.79029219285</v>
      </c>
      <c r="G87" s="26">
        <v>2034302.0653635</v>
      </c>
    </row>
    <row r="88" spans="1:7" ht="15.75" x14ac:dyDescent="0.25">
      <c r="A88" s="100">
        <f t="shared" si="2"/>
        <v>425</v>
      </c>
      <c r="B88" s="27">
        <v>0.49376170785597451</v>
      </c>
      <c r="C88" s="27">
        <v>0.50623829214402527</v>
      </c>
      <c r="D88" s="27">
        <v>-0.70268179701481848</v>
      </c>
      <c r="E88" s="27">
        <v>1.7026817970148185</v>
      </c>
      <c r="F88" s="26">
        <v>116684.14338507033</v>
      </c>
      <c r="G88" s="26">
        <v>668226.71786405367</v>
      </c>
    </row>
    <row r="89" spans="1:7" ht="15.75" x14ac:dyDescent="0.25">
      <c r="A89" s="100">
        <f t="shared" si="2"/>
        <v>430</v>
      </c>
      <c r="B89" s="27">
        <v>0.29370997760176254</v>
      </c>
      <c r="C89" s="27">
        <v>0.70629002239823724</v>
      </c>
      <c r="D89" s="27">
        <v>-0.54195016154787012</v>
      </c>
      <c r="E89" s="27">
        <v>1.5419501615478701</v>
      </c>
      <c r="F89" s="26">
        <v>104913.88356034194</v>
      </c>
      <c r="G89" s="26">
        <v>353175.49778241059</v>
      </c>
    </row>
    <row r="90" spans="1:7" ht="15.75" x14ac:dyDescent="0.25">
      <c r="A90" s="100">
        <f t="shared" si="2"/>
        <v>435</v>
      </c>
      <c r="B90" s="27">
        <v>0.15829129105606882</v>
      </c>
      <c r="C90" s="27">
        <v>0.84170870894393113</v>
      </c>
      <c r="D90" s="27">
        <v>-0.39785838065330337</v>
      </c>
      <c r="E90" s="27">
        <v>1.3978583806533034</v>
      </c>
      <c r="F90" s="26">
        <v>93238.163252457132</v>
      </c>
      <c r="G90" s="26">
        <v>216450.32283364798</v>
      </c>
    </row>
    <row r="91" spans="1:7" ht="15.75" x14ac:dyDescent="0.25">
      <c r="A91" s="100">
        <f t="shared" si="2"/>
        <v>440</v>
      </c>
      <c r="B91" s="27">
        <v>7.1303311943946901E-2</v>
      </c>
      <c r="C91" s="27">
        <v>0.9286966880560531</v>
      </c>
      <c r="D91" s="27">
        <v>-0.26702680004813545</v>
      </c>
      <c r="E91" s="27">
        <v>1.2670268000481355</v>
      </c>
      <c r="F91" s="26">
        <v>81975.493941519759</v>
      </c>
      <c r="G91" s="26">
        <v>141703.881912613</v>
      </c>
    </row>
    <row r="92" spans="1:7" ht="15.75" x14ac:dyDescent="0.25">
      <c r="A92" s="100">
        <f t="shared" si="2"/>
        <v>445</v>
      </c>
      <c r="B92" s="27">
        <v>2.0976186034375489E-2</v>
      </c>
      <c r="C92" s="27">
        <v>0.97902381396562455</v>
      </c>
      <c r="D92" s="27">
        <v>-0.14483157816710931</v>
      </c>
      <c r="E92" s="27">
        <v>1.1448315781671092</v>
      </c>
      <c r="F92" s="26">
        <v>71372.263092364272</v>
      </c>
      <c r="G92" s="26">
        <v>95547.518485611712</v>
      </c>
    </row>
    <row r="93" spans="1:7" ht="15.75" x14ac:dyDescent="0.25">
      <c r="A93" s="100">
        <f t="shared" si="2"/>
        <v>450</v>
      </c>
      <c r="B93" s="27">
        <v>6.5337112668765356E-4</v>
      </c>
      <c r="C93" s="27">
        <v>0.99934662887331238</v>
      </c>
      <c r="D93" s="27">
        <v>-2.5561125301669596E-2</v>
      </c>
      <c r="E93" s="27">
        <v>1.0255611253016697</v>
      </c>
      <c r="F93" s="26">
        <v>61601.005165484799</v>
      </c>
      <c r="G93" s="26">
        <v>64832.795383688521</v>
      </c>
    </row>
    <row r="94" spans="1:7" ht="15.75" x14ac:dyDescent="0.25">
      <c r="A94" s="100">
        <f t="shared" si="2"/>
        <v>455</v>
      </c>
      <c r="B94" s="27">
        <v>9.5983031572255649E-3</v>
      </c>
      <c r="C94" s="27">
        <v>0.99040169684277468</v>
      </c>
      <c r="D94" s="27">
        <v>9.7970930164133718E-2</v>
      </c>
      <c r="E94" s="27">
        <v>0.90202906983586639</v>
      </c>
      <c r="F94" s="26">
        <v>52764.966900033607</v>
      </c>
      <c r="G94" s="26">
        <v>43348.628552162685</v>
      </c>
    </row>
    <row r="95" spans="1:7" ht="15.75" x14ac:dyDescent="0.25">
      <c r="A95" s="100">
        <f t="shared" si="2"/>
        <v>460</v>
      </c>
      <c r="B95" s="27">
        <v>5.5470736536527641E-2</v>
      </c>
      <c r="C95" s="27">
        <v>0.94452926346347243</v>
      </c>
      <c r="D95" s="27">
        <v>0.23552226335641316</v>
      </c>
      <c r="E95" s="27">
        <v>0.76447773664358687</v>
      </c>
      <c r="F95" s="26">
        <v>44907.081857649471</v>
      </c>
      <c r="G95" s="26">
        <v>27786.196425584589</v>
      </c>
    </row>
    <row r="96" spans="1:7" ht="15.75" x14ac:dyDescent="0.25">
      <c r="A96" s="100">
        <f t="shared" si="2"/>
        <v>465</v>
      </c>
      <c r="B96" s="27">
        <v>0.16146353757089996</v>
      </c>
      <c r="C96" s="27">
        <v>0.83853646242910007</v>
      </c>
      <c r="D96" s="27">
        <v>0.40182525750741449</v>
      </c>
      <c r="E96" s="27">
        <v>0.59817474249258551</v>
      </c>
      <c r="F96" s="26">
        <v>38021.414505872672</v>
      </c>
      <c r="G96" s="26">
        <v>16224.168960755043</v>
      </c>
    </row>
    <row r="97" spans="1:7" ht="15.75" x14ac:dyDescent="0.25">
      <c r="A97" s="100">
        <f t="shared" si="2"/>
        <v>470</v>
      </c>
      <c r="B97" s="27">
        <v>0.38693108367232054</v>
      </c>
      <c r="C97" s="27">
        <v>0.61306891632767957</v>
      </c>
      <c r="D97" s="27">
        <v>0.62203784745971891</v>
      </c>
      <c r="E97" s="27">
        <v>0.37796215254028109</v>
      </c>
      <c r="F97" s="26">
        <v>32065.359967674998</v>
      </c>
      <c r="G97" s="26">
        <v>7471.7692280373076</v>
      </c>
    </row>
    <row r="98" spans="1:7" ht="15.75" x14ac:dyDescent="0.25">
      <c r="A98" s="100">
        <f t="shared" si="2"/>
        <v>475</v>
      </c>
      <c r="B98" s="27">
        <v>0.8944005991101075</v>
      </c>
      <c r="C98" s="27">
        <v>0.10559940088989267</v>
      </c>
      <c r="D98" s="27">
        <v>0.94572755014861842</v>
      </c>
      <c r="E98" s="27">
        <v>5.4272449851381709E-2</v>
      </c>
      <c r="F98" s="26">
        <v>26971.276996697517</v>
      </c>
      <c r="G98" s="26">
        <v>752.31358990583419</v>
      </c>
    </row>
    <row r="99" spans="1:7" ht="15.75" x14ac:dyDescent="0.25">
      <c r="A99" s="100">
        <f t="shared" si="2"/>
        <v>480</v>
      </c>
      <c r="B99" s="27">
        <v>2.2214951520247244</v>
      </c>
      <c r="C99" s="27">
        <v>-1.2214951520247241</v>
      </c>
      <c r="D99" s="27">
        <v>1.4904680982915148</v>
      </c>
      <c r="E99" s="27">
        <v>-0.49046809829151461</v>
      </c>
      <c r="F99" s="26">
        <v>22656.679350868355</v>
      </c>
      <c r="G99" s="26">
        <v>-4461.9637739765585</v>
      </c>
    </row>
    <row r="100" spans="1:7" ht="15.75" x14ac:dyDescent="0.25">
      <c r="A100" s="100">
        <f t="shared" si="2"/>
        <v>485</v>
      </c>
      <c r="B100" s="27">
        <v>6.9086999947799601</v>
      </c>
      <c r="C100" s="27">
        <v>-5.908699994779961</v>
      </c>
      <c r="D100" s="27">
        <v>2.6284406013414037</v>
      </c>
      <c r="E100" s="27">
        <v>-1.6284406013414037</v>
      </c>
      <c r="F100" s="26">
        <v>19032.53028577839</v>
      </c>
      <c r="G100" s="26">
        <v>-8541.7810207953971</v>
      </c>
    </row>
    <row r="101" spans="1:7" ht="15.75" x14ac:dyDescent="0.25">
      <c r="A101" s="100">
        <f t="shared" si="2"/>
        <v>490</v>
      </c>
      <c r="B101" s="27">
        <v>42.578737811610807</v>
      </c>
      <c r="C101" s="27">
        <v>-41.5787378116108</v>
      </c>
      <c r="D101" s="27">
        <v>6.5252385252656326</v>
      </c>
      <c r="E101" s="27">
        <v>-5.5252385252656326</v>
      </c>
      <c r="F101" s="26">
        <v>16009.524884708042</v>
      </c>
      <c r="G101" s="26">
        <v>-11754.63652975243</v>
      </c>
    </row>
    <row r="102" spans="1:7" ht="15.75" x14ac:dyDescent="0.25">
      <c r="A102" s="100">
        <f t="shared" si="2"/>
        <v>495</v>
      </c>
      <c r="B102" s="27">
        <v>1221.955004860743</v>
      </c>
      <c r="C102" s="27">
        <v>-1220.9550048607432</v>
      </c>
      <c r="D102" s="27">
        <v>-34.956473003733414</v>
      </c>
      <c r="E102" s="27">
        <v>35.956473003733414</v>
      </c>
      <c r="F102" s="26">
        <v>13502.484714551372</v>
      </c>
      <c r="G102" s="26">
        <v>-14297.766645808886</v>
      </c>
    </row>
    <row r="103" spans="1:7" ht="15.75" x14ac:dyDescent="0.25">
      <c r="A103" s="100">
        <f t="shared" si="2"/>
        <v>500</v>
      </c>
      <c r="B103" s="27">
        <v>32.262075345979987</v>
      </c>
      <c r="C103" s="27">
        <v>-31.262075345979994</v>
      </c>
      <c r="D103" s="27">
        <v>-5.6799714212291592</v>
      </c>
      <c r="E103" s="27">
        <v>6.6799714212291592</v>
      </c>
      <c r="F103" s="26">
        <v>11433.131490615297</v>
      </c>
      <c r="G103" s="26">
        <v>-16319.114955707684</v>
      </c>
    </row>
    <row r="104" spans="1:7" ht="15.75" x14ac:dyDescent="0.25">
      <c r="A104" s="100">
        <f t="shared" si="2"/>
        <v>505</v>
      </c>
      <c r="B104" s="27">
        <v>11.381695785454815</v>
      </c>
      <c r="C104" s="27">
        <v>-10.381695785454815</v>
      </c>
      <c r="D104" s="27">
        <v>-3.3736768940511799</v>
      </c>
      <c r="E104" s="27">
        <v>4.3736768940511794</v>
      </c>
      <c r="F104" s="26">
        <v>9731.567741020328</v>
      </c>
      <c r="G104" s="26">
        <v>-17931.140113662299</v>
      </c>
    </row>
    <row r="105" spans="1:7" ht="15.75" x14ac:dyDescent="0.25">
      <c r="A105" s="100">
        <f t="shared" si="2"/>
        <v>510</v>
      </c>
      <c r="B105" s="27">
        <v>6.4111270599876269</v>
      </c>
      <c r="C105" s="27">
        <v>-5.4111270599876278</v>
      </c>
      <c r="D105" s="27">
        <v>-2.5320203514165573</v>
      </c>
      <c r="E105" s="27">
        <v>3.5320203514165573</v>
      </c>
      <c r="F105" s="26">
        <v>8336.7952993844301</v>
      </c>
      <c r="G105" s="26">
        <v>-19220.195499226356</v>
      </c>
    </row>
    <row r="106" spans="1:7" ht="15.75" x14ac:dyDescent="0.25">
      <c r="A106" s="100">
        <f t="shared" si="2"/>
        <v>515</v>
      </c>
      <c r="B106" s="27">
        <v>4.4199689198361058</v>
      </c>
      <c r="C106" s="27">
        <v>-3.4199689198361063</v>
      </c>
      <c r="D106" s="27">
        <v>-2.1023722124866722</v>
      </c>
      <c r="E106" s="27">
        <v>3.1023722124866722</v>
      </c>
      <c r="F106" s="26">
        <v>7196.5689439982025</v>
      </c>
      <c r="G106" s="26">
        <v>-20253.082637797805</v>
      </c>
    </row>
    <row r="107" spans="1:7" ht="15.75" x14ac:dyDescent="0.25">
      <c r="A107" s="100">
        <f t="shared" si="2"/>
        <v>520</v>
      </c>
      <c r="B107" s="27">
        <v>3.4077768901353491</v>
      </c>
      <c r="C107" s="27">
        <v>-2.4077768901353496</v>
      </c>
      <c r="D107" s="27">
        <v>-1.8460164923790223</v>
      </c>
      <c r="E107" s="27">
        <v>2.8460164923790225</v>
      </c>
      <c r="F107" s="26">
        <v>6266.8310148126557</v>
      </c>
      <c r="G107" s="26">
        <v>-21081.745549611256</v>
      </c>
    </row>
    <row r="108" spans="1:7" ht="15.75" x14ac:dyDescent="0.25">
      <c r="A108" s="100">
        <f t="shared" si="2"/>
        <v>525</v>
      </c>
      <c r="B108" s="27">
        <v>2.8185720458049786</v>
      </c>
      <c r="C108" s="27">
        <v>-1.8185720458049783</v>
      </c>
      <c r="D108" s="27">
        <v>-1.6788603413640393</v>
      </c>
      <c r="E108" s="27">
        <v>2.6788603413640391</v>
      </c>
      <c r="F108" s="26">
        <v>5510.9166857067394</v>
      </c>
      <c r="G108" s="26">
        <v>-21746.705845620287</v>
      </c>
    </row>
    <row r="109" spans="1:7" ht="15.75" x14ac:dyDescent="0.25">
      <c r="A109" s="100">
        <f t="shared" si="2"/>
        <v>530</v>
      </c>
      <c r="B109" s="27">
        <v>2.4451020877526606</v>
      </c>
      <c r="C109" s="27">
        <v>-1.4451020877526606</v>
      </c>
      <c r="D109" s="27">
        <v>-1.563682220834099</v>
      </c>
      <c r="E109" s="27">
        <v>2.563682220834099</v>
      </c>
      <c r="F109" s="26">
        <v>4898.6671295515343</v>
      </c>
      <c r="G109" s="26">
        <v>-22279.620257016915</v>
      </c>
    </row>
    <row r="110" spans="1:7" ht="15.75" x14ac:dyDescent="0.25">
      <c r="A110" s="100">
        <f t="shared" si="2"/>
        <v>535</v>
      </c>
      <c r="B110" s="27">
        <v>2.1948094657643176</v>
      </c>
      <c r="C110" s="27">
        <v>-1.1948094657643169</v>
      </c>
      <c r="D110" s="27">
        <v>-1.4814889354174461</v>
      </c>
      <c r="E110" s="27">
        <v>2.4814889354174459</v>
      </c>
      <c r="F110" s="26">
        <v>4405.5434420344118</v>
      </c>
      <c r="G110" s="26">
        <v>-22705.209822591434</v>
      </c>
    </row>
    <row r="111" spans="1:7" ht="15.75" x14ac:dyDescent="0.25">
      <c r="A111" s="100">
        <f t="shared" si="2"/>
        <v>540</v>
      </c>
      <c r="B111" s="27">
        <v>2.0209703617427119</v>
      </c>
      <c r="C111" s="27">
        <v>-1.0209703617427117</v>
      </c>
      <c r="D111" s="27">
        <v>-1.4216083714380385</v>
      </c>
      <c r="E111" s="27">
        <v>2.4216083714380385</v>
      </c>
      <c r="F111" s="26">
        <v>4011.7993672468829</v>
      </c>
      <c r="G111" s="26">
        <v>-23042.727778669458</v>
      </c>
    </row>
    <row r="112" spans="1:7" ht="15.75" x14ac:dyDescent="0.25">
      <c r="A112" s="100">
        <f t="shared" si="2"/>
        <v>545</v>
      </c>
      <c r="B112" s="27">
        <v>1.8978542448288021</v>
      </c>
      <c r="C112" s="27">
        <v>-0.89785424482880183</v>
      </c>
      <c r="D112" s="27">
        <v>-1.3776263081216189</v>
      </c>
      <c r="E112" s="27">
        <v>2.3776263081216191</v>
      </c>
      <c r="F112" s="26">
        <v>3701.7452799617272</v>
      </c>
      <c r="G112" s="26">
        <v>-23307.081033049868</v>
      </c>
    </row>
    <row r="113" spans="1:7" ht="15.75" x14ac:dyDescent="0.25">
      <c r="A113" s="100">
        <f t="shared" si="2"/>
        <v>550</v>
      </c>
      <c r="B113" s="27">
        <v>1.8103900318849255</v>
      </c>
      <c r="C113" s="27">
        <v>-0.81039003188492587</v>
      </c>
      <c r="D113" s="27">
        <v>-1.3455073511077245</v>
      </c>
      <c r="E113" s="27">
        <v>2.3455073511077247</v>
      </c>
      <c r="F113" s="26">
        <v>3463.1182745938581</v>
      </c>
      <c r="G113" s="26">
        <v>-23509.686102981988</v>
      </c>
    </row>
    <row r="114" spans="1:7" ht="15.75" x14ac:dyDescent="0.25">
      <c r="A114" s="100">
        <f t="shared" si="2"/>
        <v>555</v>
      </c>
      <c r="B114" s="27">
        <v>1.7493924983095479</v>
      </c>
      <c r="C114" s="27">
        <v>-0.74939249830954813</v>
      </c>
      <c r="D114" s="27">
        <v>-1.3226460215452764</v>
      </c>
      <c r="E114" s="27">
        <v>2.3226460215452764</v>
      </c>
      <c r="F114" s="26">
        <v>3286.5619944254909</v>
      </c>
      <c r="G114" s="26">
        <v>-23659.117519423908</v>
      </c>
    </row>
    <row r="115" spans="1:7" ht="15.75" x14ac:dyDescent="0.25">
      <c r="A115" s="100">
        <f t="shared" si="2"/>
        <v>560</v>
      </c>
      <c r="B115" s="27">
        <v>1.7091805648153284</v>
      </c>
      <c r="C115" s="27">
        <v>-0.70918056481532821</v>
      </c>
      <c r="D115" s="27">
        <v>-1.3073563266437074</v>
      </c>
      <c r="E115" s="27">
        <v>2.3073563266437076</v>
      </c>
      <c r="F115" s="26">
        <v>3165.2134324590515</v>
      </c>
      <c r="G115" s="26">
        <v>-23761.590718866562</v>
      </c>
    </row>
    <row r="116" spans="1:7" ht="15.75" x14ac:dyDescent="0.25">
      <c r="A116" s="100">
        <f t="shared" si="2"/>
        <v>565</v>
      </c>
      <c r="B116" s="27">
        <v>1.6863273760423536</v>
      </c>
      <c r="C116" s="27">
        <v>-0.68632737604235361</v>
      </c>
      <c r="D116" s="27">
        <v>-1.2985866840693976</v>
      </c>
      <c r="E116" s="27">
        <v>2.2985866840693978</v>
      </c>
      <c r="F116" s="26">
        <v>3094.3909796170124</v>
      </c>
      <c r="G116" s="26">
        <v>-23821.309792230986</v>
      </c>
    </row>
    <row r="117" spans="1:7" ht="15.75" x14ac:dyDescent="0.25">
      <c r="A117" s="100">
        <f t="shared" si="2"/>
        <v>570</v>
      </c>
      <c r="B117" s="27">
        <v>1.6789964072966446</v>
      </c>
      <c r="C117" s="27">
        <v>-0.67899640729664468</v>
      </c>
      <c r="D117" s="27">
        <v>-1.2957609375562471</v>
      </c>
      <c r="E117" s="27">
        <v>2.2957609375562469</v>
      </c>
      <c r="F117" s="26">
        <v>3071.3773927937664</v>
      </c>
      <c r="G117" s="26">
        <v>-23840.701551496491</v>
      </c>
    </row>
    <row r="118" spans="1:7" ht="15.75" x14ac:dyDescent="0.25">
      <c r="A118" s="100">
        <f t="shared" si="2"/>
        <v>575</v>
      </c>
      <c r="B118" s="27">
        <v>1.686615425717122</v>
      </c>
      <c r="C118" s="27">
        <v>-0.68661542571712186</v>
      </c>
      <c r="D118" s="27">
        <v>-1.2986975882464409</v>
      </c>
      <c r="E118" s="27">
        <v>2.2986975882464407</v>
      </c>
      <c r="F118" s="26">
        <v>3095.2922784757866</v>
      </c>
      <c r="G118" s="26">
        <v>-23820.550200022928</v>
      </c>
    </row>
    <row r="119" spans="1:7" ht="15.75" x14ac:dyDescent="0.25">
      <c r="A119" s="100">
        <f t="shared" si="2"/>
        <v>580</v>
      </c>
      <c r="B119" s="27">
        <v>1.7097793155564946</v>
      </c>
      <c r="C119" s="27">
        <v>-0.70977931555649443</v>
      </c>
      <c r="D119" s="27">
        <v>-1.3075852995336459</v>
      </c>
      <c r="E119" s="27">
        <v>2.3075852995336459</v>
      </c>
      <c r="F119" s="26">
        <v>3167.0505359345257</v>
      </c>
      <c r="G119" s="26">
        <v>-23760.040777902126</v>
      </c>
    </row>
    <row r="120" spans="1:7" ht="15.75" x14ac:dyDescent="0.25">
      <c r="A120" s="100">
        <f t="shared" si="2"/>
        <v>585</v>
      </c>
      <c r="B120" s="27">
        <v>1.7503511432078114</v>
      </c>
      <c r="C120" s="27">
        <v>-0.75035114320781171</v>
      </c>
      <c r="D120" s="27">
        <v>-1.3230083685327962</v>
      </c>
      <c r="E120" s="27">
        <v>2.3230083685327965</v>
      </c>
      <c r="F120" s="26">
        <v>3289.4055403993166</v>
      </c>
      <c r="G120" s="26">
        <v>-23656.714011946417</v>
      </c>
    </row>
    <row r="121" spans="1:7" ht="15.75" x14ac:dyDescent="0.25">
      <c r="A121" s="100">
        <f t="shared" si="2"/>
        <v>590</v>
      </c>
      <c r="B121" s="27">
        <v>1.8117933309139846</v>
      </c>
      <c r="C121" s="27">
        <v>-0.81179333091398431</v>
      </c>
      <c r="D121" s="27">
        <v>-1.3460287258873729</v>
      </c>
      <c r="E121" s="27">
        <v>2.3460287258873729</v>
      </c>
      <c r="F121" s="26">
        <v>3467.0783329264618</v>
      </c>
      <c r="G121" s="26">
        <v>-23506.329837467412</v>
      </c>
    </row>
    <row r="122" spans="1:7" ht="15.75" x14ac:dyDescent="0.25">
      <c r="A122" s="100">
        <f t="shared" si="2"/>
        <v>595</v>
      </c>
      <c r="B122" s="27">
        <v>1.8998398313526683</v>
      </c>
      <c r="C122" s="27">
        <v>-0.89983983135266843</v>
      </c>
      <c r="D122" s="27">
        <v>-1.3783467747097129</v>
      </c>
      <c r="E122" s="27">
        <v>2.3783467747097129</v>
      </c>
      <c r="F122" s="26">
        <v>3706.9764141241149</v>
      </c>
      <c r="G122" s="26">
        <v>-23302.631310182347</v>
      </c>
    </row>
    <row r="123" spans="1:7" ht="15.75" x14ac:dyDescent="0.25">
      <c r="A123" s="100">
        <f t="shared" si="2"/>
        <v>600</v>
      </c>
      <c r="B123" s="27">
        <v>2.0237612248919907</v>
      </c>
      <c r="C123" s="27">
        <v>-1.0237612248919903</v>
      </c>
      <c r="D123" s="27">
        <v>-1.4225896192830843</v>
      </c>
      <c r="E123" s="27">
        <v>2.4225896192830843</v>
      </c>
      <c r="F123" s="26">
        <v>4018.5075739947483</v>
      </c>
      <c r="G123" s="26">
        <v>-23036.994496660176</v>
      </c>
    </row>
    <row r="124" spans="1:7" ht="15.75" x14ac:dyDescent="0.25">
      <c r="A124" s="100">
        <f t="shared" si="2"/>
        <v>605</v>
      </c>
      <c r="B124" s="27">
        <v>2.1987769813785438</v>
      </c>
      <c r="C124" s="27">
        <v>-1.198776981378544</v>
      </c>
      <c r="D124" s="27">
        <v>-1.4828273606116606</v>
      </c>
      <c r="E124" s="27">
        <v>2.4828273606116609</v>
      </c>
      <c r="F124" s="26">
        <v>4413.995090418146</v>
      </c>
      <c r="G124" s="26">
        <v>-22697.942730942741</v>
      </c>
    </row>
    <row r="125" spans="1:7" ht="15.75" x14ac:dyDescent="0.25">
      <c r="A125" s="100">
        <f t="shared" si="2"/>
        <v>610</v>
      </c>
      <c r="B125" s="27">
        <v>2.4508962632355011</v>
      </c>
      <c r="C125" s="27">
        <v>-1.4508962632355018</v>
      </c>
      <c r="D125" s="27">
        <v>-1.5655338588594949</v>
      </c>
      <c r="E125" s="27">
        <v>2.5655338588594949</v>
      </c>
      <c r="F125" s="26">
        <v>4909.199989104558</v>
      </c>
      <c r="G125" s="26">
        <v>-22270.49467446567</v>
      </c>
    </row>
    <row r="126" spans="1:7" ht="15.75" x14ac:dyDescent="0.25">
      <c r="A126" s="100">
        <f t="shared" si="2"/>
        <v>615</v>
      </c>
      <c r="B126" s="27">
        <v>2.8274153834482316</v>
      </c>
      <c r="C126" s="27">
        <v>-1.8274153834482323</v>
      </c>
      <c r="D126" s="27">
        <v>-1.6814920111163871</v>
      </c>
      <c r="E126" s="27">
        <v>2.6814920111163874</v>
      </c>
      <c r="F126" s="26">
        <v>5523.9530473888281</v>
      </c>
      <c r="G126" s="26">
        <v>-21735.303898999711</v>
      </c>
    </row>
    <row r="127" spans="1:7" ht="15.75" x14ac:dyDescent="0.25">
      <c r="A127" s="100">
        <f t="shared" si="2"/>
        <v>620</v>
      </c>
      <c r="B127" s="27">
        <v>3.4222103143791704</v>
      </c>
      <c r="C127" s="27">
        <v>-2.4222103143791704</v>
      </c>
      <c r="D127" s="27">
        <v>-1.8499217049321766</v>
      </c>
      <c r="E127" s="27">
        <v>2.8499217049321763</v>
      </c>
      <c r="F127" s="26">
        <v>6282.8927435164078</v>
      </c>
      <c r="G127" s="26">
        <v>-21067.531627442266</v>
      </c>
    </row>
    <row r="128" spans="1:7" ht="15.75" x14ac:dyDescent="0.25">
      <c r="A128" s="100">
        <f t="shared" si="2"/>
        <v>625</v>
      </c>
      <c r="B128" s="27">
        <v>4.4460770507195253</v>
      </c>
      <c r="C128" s="27">
        <v>-3.4460770507195262</v>
      </c>
      <c r="D128" s="27">
        <v>-2.108572277803046</v>
      </c>
      <c r="E128" s="27">
        <v>3.108572277803046</v>
      </c>
      <c r="F128" s="26">
        <v>7216.2940295842936</v>
      </c>
      <c r="G128" s="26">
        <v>-20235.371222972983</v>
      </c>
    </row>
    <row r="129" spans="1:7" ht="15.75" x14ac:dyDescent="0.25">
      <c r="A129" s="100">
        <f t="shared" si="2"/>
        <v>630</v>
      </c>
      <c r="B129" s="27">
        <v>6.4669344122487127</v>
      </c>
      <c r="C129" s="27">
        <v>-5.4669344122487127</v>
      </c>
      <c r="D129" s="27">
        <v>-2.5430167935443748</v>
      </c>
      <c r="E129" s="27">
        <v>3.5430167935443744</v>
      </c>
      <c r="F129" s="26">
        <v>8360.9550631152324</v>
      </c>
      <c r="G129" s="26">
        <v>-19198.108745558009</v>
      </c>
    </row>
    <row r="130" spans="1:7" ht="15.75" x14ac:dyDescent="0.25">
      <c r="A130" s="100">
        <f t="shared" si="2"/>
        <v>635</v>
      </c>
      <c r="B130" s="27">
        <v>11.543506545330358</v>
      </c>
      <c r="C130" s="27">
        <v>-10.543506545330356</v>
      </c>
      <c r="D130" s="27">
        <v>-3.3975736261824196</v>
      </c>
      <c r="E130" s="27">
        <v>4.3975736261824192</v>
      </c>
      <c r="F130" s="26">
        <v>9761.083277226875</v>
      </c>
      <c r="G130" s="26">
        <v>-17903.551287912444</v>
      </c>
    </row>
    <row r="131" spans="1:7" ht="15.75" x14ac:dyDescent="0.25">
      <c r="A131" s="100">
        <f t="shared" si="2"/>
        <v>640</v>
      </c>
      <c r="B131" s="27">
        <v>33.217005504456814</v>
      </c>
      <c r="C131" s="27">
        <v>-32.217005504456822</v>
      </c>
      <c r="D131" s="27">
        <v>-5.7634196016303392</v>
      </c>
      <c r="E131" s="27">
        <v>6.7634196016303392</v>
      </c>
      <c r="F131" s="26">
        <v>11469.087162331731</v>
      </c>
      <c r="G131" s="26">
        <v>-16284.57188612398</v>
      </c>
    </row>
    <row r="132" spans="1:7" ht="15.75" x14ac:dyDescent="0.25">
      <c r="A132" s="100">
        <f t="shared" si="2"/>
        <v>645</v>
      </c>
      <c r="B132" s="27">
        <v>1540.7497336368529</v>
      </c>
      <c r="C132" s="27">
        <v>-1539.7497336368529</v>
      </c>
      <c r="D132" s="27">
        <v>-39.252385069405058</v>
      </c>
      <c r="E132" s="27">
        <v>40.252385069405058</v>
      </c>
      <c r="F132" s="26">
        <v>13546.135585034484</v>
      </c>
      <c r="G132" s="26">
        <v>-14254.386093359986</v>
      </c>
    </row>
    <row r="133" spans="1:7" ht="15.75" x14ac:dyDescent="0.25">
      <c r="A133" s="100">
        <f t="shared" si="2"/>
        <v>650</v>
      </c>
      <c r="B133" s="27">
        <v>40.501442368744762</v>
      </c>
      <c r="C133" s="27">
        <v>-39.501442368744762</v>
      </c>
      <c r="D133" s="27">
        <v>6.3640743528611265</v>
      </c>
      <c r="E133" s="27">
        <v>-5.3640743528611265</v>
      </c>
      <c r="F133" s="26">
        <v>16062.293906900179</v>
      </c>
      <c r="G133" s="26">
        <v>-11699.955033811648</v>
      </c>
    </row>
    <row r="134" spans="1:7" ht="15.75" x14ac:dyDescent="0.25">
      <c r="A134" s="100">
        <f t="shared" si="2"/>
        <v>655</v>
      </c>
      <c r="B134" s="27">
        <v>6.7343534647248893</v>
      </c>
      <c r="C134" s="27">
        <v>-5.7343534647248893</v>
      </c>
      <c r="D134" s="27">
        <v>2.5950632872292134</v>
      </c>
      <c r="E134" s="27">
        <v>-1.5950632872292132</v>
      </c>
      <c r="F134" s="26">
        <v>19095.990007978206</v>
      </c>
      <c r="G134" s="26">
        <v>-8472.5386346390369</v>
      </c>
    </row>
    <row r="135" spans="1:7" ht="15.75" x14ac:dyDescent="0.25">
      <c r="A135" s="100">
        <f t="shared" si="2"/>
        <v>660</v>
      </c>
      <c r="B135" s="27">
        <v>2.179992241128816</v>
      </c>
      <c r="C135" s="27">
        <v>-1.1799922411288155</v>
      </c>
      <c r="D135" s="27">
        <v>1.4764796785356769</v>
      </c>
      <c r="E135" s="27">
        <v>-0.47647967853567674</v>
      </c>
      <c r="F135" s="26">
        <v>22732.512035644275</v>
      </c>
      <c r="G135" s="26">
        <v>-4373.7811058707393</v>
      </c>
    </row>
    <row r="136" spans="1:7" ht="15.75" x14ac:dyDescent="0.25">
      <c r="A136" s="100">
        <f t="shared" si="2"/>
        <v>665</v>
      </c>
      <c r="B136" s="27">
        <v>0.87988326543629003</v>
      </c>
      <c r="C136" s="27">
        <v>0.12011673456370987</v>
      </c>
      <c r="D136" s="27">
        <v>0.93802093016962573</v>
      </c>
      <c r="E136" s="27">
        <v>6.1979069830374128E-2</v>
      </c>
      <c r="F136" s="26">
        <v>27061.206697051839</v>
      </c>
      <c r="G136" s="26">
        <v>865.4335943750433</v>
      </c>
    </row>
    <row r="137" spans="1:7" ht="15.75" x14ac:dyDescent="0.25">
      <c r="A137" s="100">
        <f t="shared" si="2"/>
        <v>670</v>
      </c>
      <c r="B137" s="27">
        <v>0.38077651053494382</v>
      </c>
      <c r="C137" s="27">
        <v>0.61922348946505601</v>
      </c>
      <c r="D137" s="27">
        <v>0.61707091207975751</v>
      </c>
      <c r="E137" s="27">
        <v>0.38292908792024238</v>
      </c>
      <c r="F137" s="26">
        <v>32171.050655182513</v>
      </c>
      <c r="G137" s="26">
        <v>7618.2380084871284</v>
      </c>
    </row>
    <row r="138" spans="1:7" ht="15.75" x14ac:dyDescent="0.25">
      <c r="A138" s="100">
        <f t="shared" si="2"/>
        <v>675</v>
      </c>
      <c r="B138" s="27">
        <v>0.15859553148305955</v>
      </c>
      <c r="C138" s="27">
        <v>0.84140446851694017</v>
      </c>
      <c r="D138" s="27">
        <v>0.39824054475035509</v>
      </c>
      <c r="E138" s="27">
        <v>0.60175945524964491</v>
      </c>
      <c r="F138" s="26">
        <v>38144.330241403295</v>
      </c>
      <c r="G138" s="26">
        <v>16416.139177989298</v>
      </c>
    </row>
    <row r="139" spans="1:7" ht="15.75" x14ac:dyDescent="0.25">
      <c r="A139" s="100">
        <f t="shared" si="2"/>
        <v>680</v>
      </c>
      <c r="B139" s="27">
        <v>5.4138745679624692E-2</v>
      </c>
      <c r="C139" s="27">
        <v>0.94586125432037516</v>
      </c>
      <c r="D139" s="27">
        <v>0.23267734242857574</v>
      </c>
      <c r="E139" s="27">
        <v>0.76732265757142426</v>
      </c>
      <c r="F139" s="26">
        <v>45048.308633038359</v>
      </c>
      <c r="G139" s="26">
        <v>28041.878202530195</v>
      </c>
    </row>
    <row r="140" spans="1:7" ht="15.75" x14ac:dyDescent="0.25">
      <c r="A140" s="100">
        <f t="shared" si="2"/>
        <v>685</v>
      </c>
      <c r="B140" s="27">
        <v>9.1223730874323873E-3</v>
      </c>
      <c r="C140" s="27">
        <v>0.99087762691256775</v>
      </c>
      <c r="D140" s="27">
        <v>9.551111499418477E-2</v>
      </c>
      <c r="E140" s="27">
        <v>0.90448888500581526</v>
      </c>
      <c r="F140" s="26">
        <v>52925.001370575344</v>
      </c>
      <c r="G140" s="26">
        <v>43696.567586954188</v>
      </c>
    </row>
    <row r="141" spans="1:7" ht="15.75" x14ac:dyDescent="0.25">
      <c r="A141" s="100">
        <f t="shared" ref="A141:A146" si="3">A140+5</f>
        <v>690</v>
      </c>
      <c r="B141" s="27">
        <v>7.7610074576472574E-4</v>
      </c>
      <c r="C141" s="27">
        <v>0.99922389925423527</v>
      </c>
      <c r="D141" s="27">
        <v>-2.785858477677439E-2</v>
      </c>
      <c r="E141" s="27">
        <v>1.0278585847767743</v>
      </c>
      <c r="F141" s="26">
        <v>61779.5228904537</v>
      </c>
      <c r="G141" s="26">
        <v>65320.345344802437</v>
      </c>
    </row>
    <row r="142" spans="1:7" ht="15.75" x14ac:dyDescent="0.25">
      <c r="A142" s="100">
        <f t="shared" si="3"/>
        <v>695</v>
      </c>
      <c r="B142" s="27">
        <v>2.1645305394246354E-2</v>
      </c>
      <c r="C142" s="27">
        <v>0.97835469460575386</v>
      </c>
      <c r="D142" s="27">
        <v>-0.14712343591096</v>
      </c>
      <c r="E142" s="27">
        <v>1.1471234359109601</v>
      </c>
      <c r="F142" s="26">
        <v>71567.887425143519</v>
      </c>
      <c r="G142" s="26">
        <v>96259.182607166236</v>
      </c>
    </row>
    <row r="143" spans="1:7" ht="15.75" x14ac:dyDescent="0.25">
      <c r="A143" s="100">
        <f t="shared" si="3"/>
        <v>700</v>
      </c>
      <c r="B143" s="27">
        <v>7.2594729919014001E-2</v>
      </c>
      <c r="C143" s="27">
        <v>0.92740527008098594</v>
      </c>
      <c r="D143" s="27">
        <v>-0.26943409197615287</v>
      </c>
      <c r="E143" s="27">
        <v>1.2694340919761529</v>
      </c>
      <c r="F143" s="26">
        <v>82185.595050187418</v>
      </c>
      <c r="G143" s="26">
        <v>142806.00159438176</v>
      </c>
    </row>
    <row r="144" spans="1:7" ht="15.75" x14ac:dyDescent="0.25">
      <c r="A144" s="100">
        <f t="shared" si="3"/>
        <v>705</v>
      </c>
      <c r="B144" s="27">
        <v>0.16038383668856557</v>
      </c>
      <c r="C144" s="27">
        <v>0.8396161633114344</v>
      </c>
      <c r="D144" s="27">
        <v>-0.40047950845026459</v>
      </c>
      <c r="E144" s="27">
        <v>1.4004795084502646</v>
      </c>
      <c r="F144" s="26">
        <v>93458.723004682295</v>
      </c>
      <c r="G144" s="26">
        <v>218319.52084848579</v>
      </c>
    </row>
    <row r="145" spans="1:7" ht="15.75" x14ac:dyDescent="0.25">
      <c r="A145" s="100">
        <f t="shared" si="3"/>
        <v>710</v>
      </c>
      <c r="B145" s="27">
        <v>0.29687555225829904</v>
      </c>
      <c r="C145" s="27">
        <v>0.70312444774170091</v>
      </c>
      <c r="D145" s="27">
        <v>-0.54486287472932038</v>
      </c>
      <c r="E145" s="27">
        <v>1.5448628747293203</v>
      </c>
      <c r="F145" s="26">
        <v>105139.46394200058</v>
      </c>
      <c r="G145" s="26">
        <v>356872.78733050078</v>
      </c>
    </row>
    <row r="146" spans="1:7" ht="15.75" x14ac:dyDescent="0.25">
      <c r="A146" s="100">
        <f t="shared" si="3"/>
        <v>715</v>
      </c>
      <c r="B146" s="27">
        <v>0.49834407611019604</v>
      </c>
      <c r="C146" s="27">
        <v>0.50165592388980407</v>
      </c>
      <c r="D146" s="27">
        <v>-0.70593489509316376</v>
      </c>
      <c r="E146" s="27">
        <v>1.7059348950931637</v>
      </c>
      <c r="F146" s="26">
        <v>116907.99167185351</v>
      </c>
      <c r="G146" s="26">
        <v>678208.39392508077</v>
      </c>
    </row>
    <row r="147" spans="1:7" ht="15.75" x14ac:dyDescent="0.25">
      <c r="A147" s="100" t="s">
        <v>168</v>
      </c>
      <c r="B147" s="27">
        <v>0.78332220343172987</v>
      </c>
      <c r="C147" s="27">
        <v>0.21667779656826999</v>
      </c>
      <c r="D147" s="27">
        <v>-0.88505491548927617</v>
      </c>
      <c r="E147" s="27">
        <v>1.8850549154892762</v>
      </c>
      <c r="F147" s="26">
        <v>128382.10211514104</v>
      </c>
      <c r="G147" s="26">
        <v>2105416.8056261241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" zoomScaleNormal="100" workbookViewId="0">
      <selection activeCell="Y58" sqref="Y5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7"/>
  <sheetViews>
    <sheetView workbookViewId="0">
      <selection activeCell="I7" sqref="I7"/>
    </sheetView>
  </sheetViews>
  <sheetFormatPr defaultRowHeight="15" x14ac:dyDescent="0.25"/>
  <cols>
    <col min="2" max="2" width="17.7109375" customWidth="1"/>
    <col min="3" max="3" width="22.7109375" customWidth="1"/>
    <col min="4" max="4" width="17.85546875" customWidth="1"/>
    <col min="5" max="5" width="20" customWidth="1"/>
    <col min="6" max="6" width="15.7109375" customWidth="1"/>
    <col min="7" max="7" width="14.140625" customWidth="1"/>
  </cols>
  <sheetData>
    <row r="1" spans="1:7" x14ac:dyDescent="0.25">
      <c r="B1" s="31">
        <f>EQUATIONS!C25</f>
        <v>5.9676463062965828E-3</v>
      </c>
      <c r="C1" s="31">
        <f>EQUATIONS!C26</f>
        <v>0.99403235369370324</v>
      </c>
      <c r="D1" s="31">
        <f>EQUATIONS!C27</f>
        <v>-7.7250542433672159E-2</v>
      </c>
      <c r="E1" s="31">
        <f>EQUATIONS!C28</f>
        <v>1.077250542433672</v>
      </c>
      <c r="F1" s="31">
        <f>EQUATIONS!C17</f>
        <v>1556082.6533462096</v>
      </c>
      <c r="G1" s="31">
        <f>EQUATIONS!C22</f>
        <v>1816626.2452322701</v>
      </c>
    </row>
    <row r="2" spans="1:7" ht="15.75" x14ac:dyDescent="0.25">
      <c r="A2" s="12" t="s">
        <v>100</v>
      </c>
      <c r="B2" s="7" t="s">
        <v>31</v>
      </c>
      <c r="C2" s="7" t="s">
        <v>62</v>
      </c>
      <c r="D2" s="7" t="s">
        <v>77</v>
      </c>
      <c r="E2" s="7" t="s">
        <v>63</v>
      </c>
      <c r="F2" s="12" t="s">
        <v>108</v>
      </c>
      <c r="G2" s="12" t="s">
        <v>109</v>
      </c>
    </row>
    <row r="3" spans="1:7" ht="15.75" x14ac:dyDescent="0.25">
      <c r="A3" s="1">
        <v>0</v>
      </c>
      <c r="B3" s="27">
        <v>5.9676463062965828E-3</v>
      </c>
      <c r="C3" s="27">
        <v>0.99403235369370324</v>
      </c>
      <c r="D3" s="27">
        <v>-7.7250542433672159E-2</v>
      </c>
      <c r="E3" s="27">
        <v>1.077250542433672</v>
      </c>
      <c r="F3" s="26">
        <v>128382.1021151411</v>
      </c>
      <c r="G3" s="26">
        <v>1816626.2452322701</v>
      </c>
    </row>
    <row r="4" spans="1:7" ht="15.75" x14ac:dyDescent="0.25">
      <c r="A4" s="1">
        <f t="shared" ref="A4:A35" si="0">A3+5</f>
        <v>5</v>
      </c>
      <c r="B4" s="27">
        <v>7.6957295810943351E-3</v>
      </c>
      <c r="C4" s="27">
        <v>0.99230427041890568</v>
      </c>
      <c r="D4" s="27">
        <v>-8.7725307529209234E-2</v>
      </c>
      <c r="E4" s="27">
        <v>1.0877253075292093</v>
      </c>
      <c r="F4" s="26">
        <v>1686418.414003548</v>
      </c>
      <c r="G4" s="26">
        <v>2010754.0011076906</v>
      </c>
    </row>
    <row r="5" spans="1:7" ht="15.75" x14ac:dyDescent="0.25">
      <c r="A5" s="1">
        <f t="shared" si="0"/>
        <v>10</v>
      </c>
      <c r="B5" s="27">
        <v>9.4088486078821067E-3</v>
      </c>
      <c r="C5" s="27">
        <v>0.99059115139211806</v>
      </c>
      <c r="D5" s="27">
        <v>-9.699921962511919E-2</v>
      </c>
      <c r="E5" s="27">
        <v>1.0969992196251193</v>
      </c>
      <c r="F5" s="26">
        <v>1802621.4841912368</v>
      </c>
      <c r="G5" s="26">
        <v>2189892.195460022</v>
      </c>
    </row>
    <row r="6" spans="1:7" ht="15.75" x14ac:dyDescent="0.25">
      <c r="A6" s="1">
        <f t="shared" si="0"/>
        <v>15</v>
      </c>
      <c r="B6" s="27">
        <v>1.096371614840304E-2</v>
      </c>
      <c r="C6" s="27">
        <v>0.98903628385159714</v>
      </c>
      <c r="D6" s="27">
        <v>-0.10470776546370876</v>
      </c>
      <c r="E6" s="27">
        <v>1.1047077654637087</v>
      </c>
      <c r="F6" s="26">
        <v>1899459.5004344143</v>
      </c>
      <c r="G6" s="26">
        <v>2343757.2441366422</v>
      </c>
    </row>
    <row r="7" spans="1:7" ht="15.75" x14ac:dyDescent="0.25">
      <c r="A7" s="1">
        <f t="shared" si="0"/>
        <v>20</v>
      </c>
      <c r="B7" s="27">
        <v>1.2211012512820208E-2</v>
      </c>
      <c r="C7" s="27">
        <v>0.98778898748717991</v>
      </c>
      <c r="D7" s="27">
        <v>-0.11050345023038968</v>
      </c>
      <c r="E7" s="27">
        <v>1.1105034502303899</v>
      </c>
      <c r="F7" s="26">
        <v>1972281.3444615752</v>
      </c>
      <c r="G7" s="26">
        <v>2462320.1050267187</v>
      </c>
    </row>
    <row r="8" spans="1:7" ht="15.75" x14ac:dyDescent="0.25">
      <c r="A8" s="1">
        <f t="shared" si="0"/>
        <v>25</v>
      </c>
      <c r="B8" s="27">
        <v>1.3018475583599738E-2</v>
      </c>
      <c r="C8" s="27">
        <v>0.9869815244164003</v>
      </c>
      <c r="D8" s="27">
        <v>-0.11409853453747658</v>
      </c>
      <c r="E8" s="27">
        <v>1.1140985345374765</v>
      </c>
      <c r="F8" s="26">
        <v>2017421.6655875922</v>
      </c>
      <c r="G8" s="26">
        <v>2537084.0988527215</v>
      </c>
    </row>
    <row r="9" spans="1:7" ht="15.75" x14ac:dyDescent="0.25">
      <c r="A9" s="1">
        <f t="shared" si="0"/>
        <v>30</v>
      </c>
      <c r="B9" s="27">
        <v>1.3294816331462955E-2</v>
      </c>
      <c r="C9" s="27">
        <v>0.9867051836685371</v>
      </c>
      <c r="D9" s="27">
        <v>-0.11530314970313238</v>
      </c>
      <c r="E9" s="27">
        <v>1.1153031497031325</v>
      </c>
      <c r="F9" s="26">
        <v>2032538.0458699467</v>
      </c>
      <c r="G9" s="26">
        <v>2562342.2121255714</v>
      </c>
    </row>
    <row r="10" spans="1:7" ht="15.75" x14ac:dyDescent="0.25">
      <c r="A10" s="1">
        <f t="shared" si="0"/>
        <v>35</v>
      </c>
      <c r="B10" s="27">
        <v>1.3007797086363924E-2</v>
      </c>
      <c r="C10" s="27">
        <v>0.9869922029136361</v>
      </c>
      <c r="D10" s="27">
        <v>-0.1140517298701073</v>
      </c>
      <c r="E10" s="27">
        <v>1.1140517298701074</v>
      </c>
      <c r="F10" s="26">
        <v>2016834.2251518359</v>
      </c>
      <c r="G10" s="26">
        <v>2536104.7965726247</v>
      </c>
    </row>
    <row r="11" spans="1:7" ht="15.75" x14ac:dyDescent="0.25">
      <c r="A11" s="1">
        <f t="shared" si="0"/>
        <v>40</v>
      </c>
      <c r="B11" s="27">
        <v>1.2190891165897676E-2</v>
      </c>
      <c r="C11" s="27">
        <v>0.98780910883410233</v>
      </c>
      <c r="D11" s="27">
        <v>-0.11041236871790079</v>
      </c>
      <c r="E11" s="27">
        <v>1.1104123687179008</v>
      </c>
      <c r="F11" s="26">
        <v>1971137.2879107201</v>
      </c>
      <c r="G11" s="26">
        <v>2460438.0141646033</v>
      </c>
    </row>
    <row r="12" spans="1:7" ht="15.75" x14ac:dyDescent="0.25">
      <c r="A12" s="1">
        <f t="shared" si="0"/>
        <v>45</v>
      </c>
      <c r="B12" s="27">
        <v>1.0936370752674536E-2</v>
      </c>
      <c r="C12" s="27">
        <v>0.9890636292473256</v>
      </c>
      <c r="D12" s="27">
        <v>-0.1045771043425593</v>
      </c>
      <c r="E12" s="27">
        <v>1.1045771043425594</v>
      </c>
      <c r="F12" s="26">
        <v>1897817.5014930947</v>
      </c>
      <c r="G12" s="26">
        <v>2341112.5296620103</v>
      </c>
    </row>
    <row r="13" spans="1:7" ht="15.75" x14ac:dyDescent="0.25">
      <c r="A13" s="1">
        <f t="shared" si="0"/>
        <v>50</v>
      </c>
      <c r="B13" s="27">
        <v>9.3770567960120513E-3</v>
      </c>
      <c r="C13" s="27">
        <v>0.99062294320398803</v>
      </c>
      <c r="D13" s="27">
        <v>-9.6835204321631146E-2</v>
      </c>
      <c r="E13" s="27">
        <v>1.0968352043216312</v>
      </c>
      <c r="F13" s="26">
        <v>1800562.5499695286</v>
      </c>
      <c r="G13" s="26">
        <v>2186666.7100397092</v>
      </c>
    </row>
    <row r="14" spans="1:7" ht="15.75" x14ac:dyDescent="0.25">
      <c r="A14" s="1">
        <f t="shared" si="0"/>
        <v>55</v>
      </c>
      <c r="B14" s="27">
        <v>7.6623576091967753E-3</v>
      </c>
      <c r="C14" s="27">
        <v>0.99233764239080313</v>
      </c>
      <c r="D14" s="27">
        <v>-8.7534893666450383E-2</v>
      </c>
      <c r="E14" s="27">
        <v>1.0875348936664504</v>
      </c>
      <c r="F14" s="26">
        <v>1684038.6090110037</v>
      </c>
      <c r="G14" s="26">
        <v>2007146.0671412197</v>
      </c>
    </row>
    <row r="15" spans="1:7" ht="15.75" x14ac:dyDescent="0.25">
      <c r="A15" s="1">
        <f t="shared" si="0"/>
        <v>60</v>
      </c>
      <c r="B15" s="27">
        <v>5.9352538854084225E-3</v>
      </c>
      <c r="C15" s="27">
        <v>0.99406474611459161</v>
      </c>
      <c r="D15" s="27">
        <v>-7.7040598942430497E-2</v>
      </c>
      <c r="E15" s="27">
        <v>1.0770405989424303</v>
      </c>
      <c r="F15" s="26">
        <v>1553485.0411821895</v>
      </c>
      <c r="G15" s="26">
        <v>1812827.7985854852</v>
      </c>
    </row>
    <row r="16" spans="1:7" ht="15.75" x14ac:dyDescent="0.25">
      <c r="A16" s="1">
        <f t="shared" si="0"/>
        <v>65</v>
      </c>
      <c r="B16" s="27">
        <v>4.3154912631087521E-3</v>
      </c>
      <c r="C16" s="27">
        <v>0.99568450873689118</v>
      </c>
      <c r="D16" s="27">
        <v>-6.5692398822913695E-2</v>
      </c>
      <c r="E16" s="27">
        <v>1.0656923988229137</v>
      </c>
      <c r="F16" s="26">
        <v>1414295.0493147892</v>
      </c>
      <c r="G16" s="26">
        <v>1613176.9471304743</v>
      </c>
    </row>
    <row r="17" spans="1:7" ht="15.75" x14ac:dyDescent="0.25">
      <c r="A17" s="1">
        <f t="shared" si="0"/>
        <v>70</v>
      </c>
      <c r="B17" s="27">
        <v>2.8914780885410667E-3</v>
      </c>
      <c r="C17" s="27">
        <v>0.99710852191145893</v>
      </c>
      <c r="D17" s="27">
        <v>-5.3772465896042621E-2</v>
      </c>
      <c r="E17" s="27">
        <v>1.0537724658960426</v>
      </c>
      <c r="F17" s="26">
        <v>1271631.1044433215</v>
      </c>
      <c r="G17" s="26">
        <v>1416160.2747147777</v>
      </c>
    </row>
    <row r="18" spans="1:7" ht="15.75" x14ac:dyDescent="0.25">
      <c r="A18" s="1">
        <f t="shared" si="0"/>
        <v>75</v>
      </c>
      <c r="B18" s="27">
        <v>1.7206520304017007E-3</v>
      </c>
      <c r="C18" s="27">
        <v>0.99827934796959839</v>
      </c>
      <c r="D18" s="27">
        <v>-4.1480742886328595E-2</v>
      </c>
      <c r="E18" s="27">
        <v>1.0414807428863286</v>
      </c>
      <c r="F18" s="26">
        <v>1130113.045951593</v>
      </c>
      <c r="G18" s="26">
        <v>1227926.268468925</v>
      </c>
    </row>
    <row r="19" spans="1:7" ht="15.75" x14ac:dyDescent="0.25">
      <c r="A19" s="1">
        <f t="shared" si="0"/>
        <v>80</v>
      </c>
      <c r="B19" s="27">
        <v>8.3635193253938408E-4</v>
      </c>
      <c r="C19" s="27">
        <v>0.99916364806746072</v>
      </c>
      <c r="D19" s="27">
        <v>-2.8919749869931174E-2</v>
      </c>
      <c r="E19" s="27">
        <v>1.0289197498699312</v>
      </c>
      <c r="F19" s="26">
        <v>993601.46017457952</v>
      </c>
      <c r="G19" s="26">
        <v>1052782.3686418219</v>
      </c>
    </row>
    <row r="20" spans="1:7" ht="15.75" x14ac:dyDescent="0.25">
      <c r="A20" s="1">
        <f t="shared" si="0"/>
        <v>85</v>
      </c>
      <c r="B20" s="27">
        <v>2.5878391637524506E-4</v>
      </c>
      <c r="C20" s="27">
        <v>0.99974121608362487</v>
      </c>
      <c r="D20" s="27">
        <v>-1.6086762147033973E-2</v>
      </c>
      <c r="E20" s="27">
        <v>1.016086762147034</v>
      </c>
      <c r="F20" s="26">
        <v>865082.73893570749</v>
      </c>
      <c r="G20" s="26">
        <v>893370.55888440716</v>
      </c>
    </row>
    <row r="21" spans="1:7" ht="15.75" x14ac:dyDescent="0.25">
      <c r="A21" s="1">
        <f t="shared" si="0"/>
        <v>90</v>
      </c>
      <c r="B21" s="27">
        <v>8.2411825766105001E-6</v>
      </c>
      <c r="C21" s="27">
        <v>0.9999917588174233</v>
      </c>
      <c r="D21" s="27">
        <v>-2.8707459965330445E-3</v>
      </c>
      <c r="E21" s="27">
        <v>1.0028707459965331</v>
      </c>
      <c r="F21" s="26">
        <v>746648.12296601327</v>
      </c>
      <c r="G21" s="26">
        <v>750947.3391432896</v>
      </c>
    </row>
    <row r="22" spans="1:7" ht="15.75" x14ac:dyDescent="0.25">
      <c r="A22" s="1">
        <f t="shared" si="0"/>
        <v>95</v>
      </c>
      <c r="B22" s="27">
        <v>1.1987528464401211E-4</v>
      </c>
      <c r="C22" s="27">
        <v>0.99988012471535614</v>
      </c>
      <c r="D22" s="27">
        <v>1.0948757219155612E-2</v>
      </c>
      <c r="E22" s="27">
        <v>0.98905124278084444</v>
      </c>
      <c r="F22" s="26">
        <v>639549.03639053088</v>
      </c>
      <c r="G22" s="26">
        <v>625696.17376187269</v>
      </c>
    </row>
    <row r="23" spans="1:7" ht="15.75" x14ac:dyDescent="0.25">
      <c r="A23" s="1">
        <f t="shared" si="0"/>
        <v>100</v>
      </c>
      <c r="B23" s="27">
        <v>6.6066510234964683E-4</v>
      </c>
      <c r="C23" s="27">
        <v>0.99933933489765037</v>
      </c>
      <c r="D23" s="27">
        <v>2.5703406434744145E-2</v>
      </c>
      <c r="E23" s="27">
        <v>0.97429659356525589</v>
      </c>
      <c r="F23" s="26">
        <v>544305.86460108461</v>
      </c>
      <c r="G23" s="26">
        <v>517026.01981381554</v>
      </c>
    </row>
    <row r="24" spans="1:7" ht="15.75" x14ac:dyDescent="0.25">
      <c r="A24" s="1">
        <f t="shared" si="0"/>
        <v>105</v>
      </c>
      <c r="B24" s="27">
        <v>1.7506487515197625E-3</v>
      </c>
      <c r="C24" s="27">
        <v>0.99824935124848013</v>
      </c>
      <c r="D24" s="27">
        <v>4.1840754671967406E-2</v>
      </c>
      <c r="E24" s="27">
        <v>0.95815924532803254</v>
      </c>
      <c r="F24" s="26">
        <v>460846.66471041285</v>
      </c>
      <c r="G24" s="26">
        <v>423831.08022098872</v>
      </c>
    </row>
    <row r="25" spans="1:7" ht="15.75" x14ac:dyDescent="0.25">
      <c r="A25" s="1">
        <f t="shared" si="0"/>
        <v>110</v>
      </c>
      <c r="B25" s="27">
        <v>3.5920624361287568E-3</v>
      </c>
      <c r="C25" s="27">
        <v>0.99640793756387125</v>
      </c>
      <c r="D25" s="27">
        <v>5.993381713297391E-2</v>
      </c>
      <c r="E25" s="27">
        <v>0.94006618286702615</v>
      </c>
      <c r="F25" s="26">
        <v>388655.03521862318</v>
      </c>
      <c r="G25" s="26">
        <v>344702.14036409435</v>
      </c>
    </row>
    <row r="26" spans="1:7" ht="15.75" x14ac:dyDescent="0.25">
      <c r="A26" s="1">
        <f t="shared" si="0"/>
        <v>115</v>
      </c>
      <c r="B26" s="27">
        <v>6.5120610603223135E-3</v>
      </c>
      <c r="C26" s="27">
        <v>0.99348793893967791</v>
      </c>
      <c r="D26" s="27">
        <v>8.0697342337417238E-2</v>
      </c>
      <c r="E26" s="27">
        <v>0.9193026576625829</v>
      </c>
      <c r="F26" s="26">
        <v>326911.11597094545</v>
      </c>
      <c r="G26" s="26">
        <v>278089.19848134398</v>
      </c>
    </row>
    <row r="27" spans="1:7" ht="15.75" x14ac:dyDescent="0.25">
      <c r="A27" s="1">
        <f t="shared" si="0"/>
        <v>120</v>
      </c>
      <c r="B27" s="27">
        <v>1.1027677262754422E-2</v>
      </c>
      <c r="C27" s="27">
        <v>0.98897232273724567</v>
      </c>
      <c r="D27" s="27">
        <v>0.10501274809638315</v>
      </c>
      <c r="E27" s="27">
        <v>0.89498725190361694</v>
      </c>
      <c r="F27" s="26">
        <v>274615.11487554573</v>
      </c>
      <c r="G27" s="26">
        <v>222420.0828606397</v>
      </c>
    </row>
    <row r="28" spans="1:7" ht="15.75" x14ac:dyDescent="0.25">
      <c r="A28" s="1">
        <f t="shared" si="0"/>
        <v>125</v>
      </c>
      <c r="B28" s="27">
        <v>1.7946389855901506E-2</v>
      </c>
      <c r="C28" s="27">
        <v>0.98205361014409864</v>
      </c>
      <c r="D28" s="27">
        <v>0.13396413645413277</v>
      </c>
      <c r="E28" s="27">
        <v>0.86603586354586726</v>
      </c>
      <c r="F28" s="26">
        <v>230687.84307975014</v>
      </c>
      <c r="G28" s="26">
        <v>176181.89056297892</v>
      </c>
    </row>
    <row r="29" spans="1:7" ht="15.75" x14ac:dyDescent="0.25">
      <c r="A29" s="1">
        <f t="shared" si="0"/>
        <v>130</v>
      </c>
      <c r="B29" s="27">
        <v>2.8523365636216255E-2</v>
      </c>
      <c r="C29" s="27">
        <v>0.97147663436378384</v>
      </c>
      <c r="D29" s="27">
        <v>0.16888861902513222</v>
      </c>
      <c r="E29" s="27">
        <v>0.83111138097486781</v>
      </c>
      <c r="F29" s="26">
        <v>194046.86129119378</v>
      </c>
      <c r="G29" s="26">
        <v>137972.5597773958</v>
      </c>
    </row>
    <row r="30" spans="1:7" ht="15.75" x14ac:dyDescent="0.25">
      <c r="A30" s="1">
        <f t="shared" si="0"/>
        <v>135</v>
      </c>
      <c r="B30" s="27">
        <v>4.4709154366564599E-2</v>
      </c>
      <c r="C30" s="27">
        <v>0.95529084563343558</v>
      </c>
      <c r="D30" s="27">
        <v>0.21144539334439189</v>
      </c>
      <c r="E30" s="27">
        <v>0.78855460665560817</v>
      </c>
      <c r="F30" s="26">
        <v>163659.7461423538</v>
      </c>
      <c r="G30" s="26">
        <v>106529.4791277089</v>
      </c>
    </row>
    <row r="31" spans="1:7" ht="15.75" x14ac:dyDescent="0.25">
      <c r="A31" s="1">
        <f t="shared" si="0"/>
        <v>140</v>
      </c>
      <c r="B31" s="28">
        <v>6.9542743748409963E-2</v>
      </c>
      <c r="C31" s="28">
        <v>0.93045725625159004</v>
      </c>
      <c r="D31" s="28">
        <v>0.26370958220817453</v>
      </c>
      <c r="E31" s="28">
        <v>0.73629041779182547</v>
      </c>
      <c r="F31" s="26">
        <v>138577.70898638785</v>
      </c>
      <c r="G31" s="26">
        <v>80741.208805215225</v>
      </c>
    </row>
    <row r="32" spans="1:7" ht="15.75" x14ac:dyDescent="0.25">
      <c r="A32" s="1">
        <f t="shared" si="0"/>
        <v>145</v>
      </c>
      <c r="B32" s="27">
        <v>0.1077799614954594</v>
      </c>
      <c r="C32" s="27">
        <v>0.89222003850454046</v>
      </c>
      <c r="D32" s="27">
        <v>0.32829858588708449</v>
      </c>
      <c r="E32" s="27">
        <v>0.67170141411291551</v>
      </c>
      <c r="F32" s="26">
        <v>117953.5426058376</v>
      </c>
      <c r="G32" s="26">
        <v>59647.40323430884</v>
      </c>
    </row>
    <row r="33" spans="1:7" ht="15.75" x14ac:dyDescent="0.25">
      <c r="A33" s="1">
        <f t="shared" si="0"/>
        <v>150</v>
      </c>
      <c r="B33" s="27">
        <v>0.1669049028352684</v>
      </c>
      <c r="C33" s="27">
        <v>0.83309509716473151</v>
      </c>
      <c r="D33" s="27">
        <v>0.40853996479569588</v>
      </c>
      <c r="E33" s="27">
        <v>0.59146003520430412</v>
      </c>
      <c r="F33" s="26">
        <v>101047.90571380085</v>
      </c>
      <c r="G33" s="26">
        <v>42431.027421699524</v>
      </c>
    </row>
    <row r="34" spans="1:7" ht="15.75" x14ac:dyDescent="0.25">
      <c r="A34" s="1">
        <f t="shared" si="0"/>
        <v>155</v>
      </c>
      <c r="B34" s="27">
        <v>0.25876442648537035</v>
      </c>
      <c r="C34" s="27">
        <v>0.74123557351462943</v>
      </c>
      <c r="D34" s="27">
        <v>0.50868892899823404</v>
      </c>
      <c r="E34" s="27">
        <v>0.49131107100176591</v>
      </c>
      <c r="F34" s="26">
        <v>87227.548956334867</v>
      </c>
      <c r="G34" s="26">
        <v>28406.02835672165</v>
      </c>
    </row>
    <row r="35" spans="1:7" ht="15.75" x14ac:dyDescent="0.25">
      <c r="A35" s="1">
        <f t="shared" si="0"/>
        <v>160</v>
      </c>
      <c r="B35" s="27">
        <v>0.40220455115572806</v>
      </c>
      <c r="C35" s="27">
        <v>0.59779544884427194</v>
      </c>
      <c r="D35" s="27">
        <v>0.6341959879688045</v>
      </c>
      <c r="E35" s="27">
        <v>0.36580401203119545</v>
      </c>
      <c r="F35" s="26">
        <v>75958.462067057102</v>
      </c>
      <c r="G35" s="26">
        <v>17002.801607893354</v>
      </c>
    </row>
    <row r="36" spans="1:7" ht="15.75" x14ac:dyDescent="0.25">
      <c r="A36" s="1">
        <f t="shared" ref="A36:A67" si="1">A35+5</f>
        <v>165</v>
      </c>
      <c r="B36" s="27">
        <v>0.62726526220606638</v>
      </c>
      <c r="C36" s="27">
        <v>0.37273473779393357</v>
      </c>
      <c r="D36" s="27">
        <v>0.79200079684686331</v>
      </c>
      <c r="E36" s="27">
        <v>0.20799920315313672</v>
      </c>
      <c r="F36" s="26">
        <v>66796.24120014369</v>
      </c>
      <c r="G36" s="26">
        <v>7753.1019895198697</v>
      </c>
    </row>
    <row r="37" spans="1:7" ht="15.75" x14ac:dyDescent="0.25">
      <c r="A37" s="1">
        <f t="shared" si="1"/>
        <v>170</v>
      </c>
      <c r="B37" s="27">
        <v>0.98161176205576295</v>
      </c>
      <c r="C37" s="27">
        <v>1.8388237944236909E-2</v>
      </c>
      <c r="D37" s="27">
        <v>0.99076322199391464</v>
      </c>
      <c r="E37" s="27">
        <v>9.2367780060853052E-3</v>
      </c>
      <c r="F37" s="26">
        <v>59375.339858322848</v>
      </c>
      <c r="G37" s="26">
        <v>275.49074005792193</v>
      </c>
    </row>
    <row r="38" spans="1:7" ht="15.75" x14ac:dyDescent="0.25">
      <c r="A38" s="1">
        <f t="shared" si="1"/>
        <v>175</v>
      </c>
      <c r="B38" s="27">
        <v>1.5395549168774543</v>
      </c>
      <c r="C38" s="27">
        <v>-0.53955491687745472</v>
      </c>
      <c r="D38" s="27">
        <v>1.2407880225394885</v>
      </c>
      <c r="E38" s="27">
        <v>-0.24078802253948869</v>
      </c>
      <c r="F38" s="26">
        <v>53398.329017580327</v>
      </c>
      <c r="G38" s="26">
        <v>-5738.0162343444417</v>
      </c>
    </row>
    <row r="39" spans="1:7" ht="15.75" x14ac:dyDescent="0.25">
      <c r="A39" s="1">
        <f t="shared" si="1"/>
        <v>180</v>
      </c>
      <c r="B39" s="27">
        <v>2.4120170701057124</v>
      </c>
      <c r="C39" s="27">
        <v>-1.412017070105712</v>
      </c>
      <c r="D39" s="27">
        <v>1.5530669882866328</v>
      </c>
      <c r="E39" s="27">
        <v>-0.55306698828663281</v>
      </c>
      <c r="F39" s="26">
        <v>48625.869971184438</v>
      </c>
      <c r="G39" s="26">
        <v>-10533.747677270532</v>
      </c>
    </row>
    <row r="40" spans="1:7" ht="15.75" x14ac:dyDescent="0.25">
      <c r="A40" s="1">
        <f t="shared" si="1"/>
        <v>185</v>
      </c>
      <c r="B40" s="27">
        <v>3.7490585834283672</v>
      </c>
      <c r="C40" s="27">
        <v>-2.7490585834283672</v>
      </c>
      <c r="D40" s="27">
        <v>1.936248585132696</v>
      </c>
      <c r="E40" s="27">
        <v>-0.93624858513269604</v>
      </c>
      <c r="F40" s="26">
        <v>44867.793269879046</v>
      </c>
      <c r="G40" s="26">
        <v>-14306.488959977531</v>
      </c>
    </row>
    <row r="41" spans="1:7" ht="15.75" x14ac:dyDescent="0.25">
      <c r="A41" s="1">
        <f t="shared" si="1"/>
        <v>190</v>
      </c>
      <c r="B41" s="27">
        <v>5.7099624331114995</v>
      </c>
      <c r="C41" s="27">
        <v>-4.7099624331114986</v>
      </c>
      <c r="D41" s="27">
        <v>2.3895527684300046</v>
      </c>
      <c r="E41" s="27">
        <v>-1.3895527684300044</v>
      </c>
      <c r="F41" s="26">
        <v>41975.463750770003</v>
      </c>
      <c r="G41" s="26">
        <v>-17207.910850147968</v>
      </c>
    </row>
    <row r="42" spans="1:7" ht="15.75" x14ac:dyDescent="0.25">
      <c r="A42" s="1">
        <f t="shared" si="1"/>
        <v>195</v>
      </c>
      <c r="B42" s="27">
        <v>8.3508791207722108</v>
      </c>
      <c r="C42" s="27">
        <v>-7.35087912077221</v>
      </c>
      <c r="D42" s="27">
        <v>2.889788767500526</v>
      </c>
      <c r="E42" s="27">
        <v>-1.889788767500526</v>
      </c>
      <c r="F42" s="26">
        <v>39835.475696493333</v>
      </c>
      <c r="G42" s="26">
        <v>-19353.399122401861</v>
      </c>
    </row>
    <row r="43" spans="1:7" ht="15.75" x14ac:dyDescent="0.25">
      <c r="A43" s="1">
        <f t="shared" si="1"/>
        <v>200</v>
      </c>
      <c r="B43" s="27">
        <v>11.392114570753195</v>
      </c>
      <c r="C43" s="27">
        <v>-10.392114570753195</v>
      </c>
      <c r="D43" s="27">
        <v>3.3752206699345151</v>
      </c>
      <c r="E43" s="27">
        <v>-2.3752206699345151</v>
      </c>
      <c r="F43" s="26">
        <v>38364.644566815063</v>
      </c>
      <c r="G43" s="26">
        <v>-20827.40589428462</v>
      </c>
    </row>
    <row r="44" spans="1:7" ht="15.75" x14ac:dyDescent="0.25">
      <c r="A44" s="1">
        <f t="shared" si="1"/>
        <v>205</v>
      </c>
      <c r="B44" s="27">
        <v>14.002478025322198</v>
      </c>
      <c r="C44" s="27">
        <v>-13.002478025322196</v>
      </c>
      <c r="D44" s="27">
        <v>3.7419885121846912</v>
      </c>
      <c r="E44" s="27">
        <v>-2.7419885121846908</v>
      </c>
      <c r="F44" s="26">
        <v>37506.225920296194</v>
      </c>
      <c r="G44" s="26">
        <v>-21687.45039018989</v>
      </c>
    </row>
    <row r="45" spans="1:7" ht="15.75" x14ac:dyDescent="0.25">
      <c r="A45" s="1">
        <f t="shared" si="1"/>
        <v>210</v>
      </c>
      <c r="B45" s="27">
        <v>15.046169507088541</v>
      </c>
      <c r="C45" s="27">
        <v>-14.046169507088541</v>
      </c>
      <c r="D45" s="27">
        <v>3.8789392244644079</v>
      </c>
      <c r="E45" s="27">
        <v>-2.8789392244644079</v>
      </c>
      <c r="F45" s="26">
        <v>37227.284832271223</v>
      </c>
      <c r="G45" s="26">
        <v>-21966.883700155093</v>
      </c>
    </row>
    <row r="46" spans="1:7" ht="15.75" x14ac:dyDescent="0.25">
      <c r="A46" s="1">
        <f t="shared" si="1"/>
        <v>215</v>
      </c>
      <c r="B46" s="27">
        <v>13.963833900278338</v>
      </c>
      <c r="C46" s="27">
        <v>-12.963833900278338</v>
      </c>
      <c r="D46" s="27">
        <v>3.7368213631746352</v>
      </c>
      <c r="E46" s="27">
        <v>-2.7368213631746352</v>
      </c>
      <c r="F46" s="26">
        <v>37517.150305366325</v>
      </c>
      <c r="G46" s="26">
        <v>-21676.506367625683</v>
      </c>
    </row>
    <row r="47" spans="1:7" ht="15.75" x14ac:dyDescent="0.25">
      <c r="A47" s="1">
        <f t="shared" si="1"/>
        <v>220</v>
      </c>
      <c r="B47" s="27">
        <v>11.334401754858746</v>
      </c>
      <c r="C47" s="27">
        <v>-10.334401754858746</v>
      </c>
      <c r="D47" s="27">
        <v>3.3666603266232169</v>
      </c>
      <c r="E47" s="27">
        <v>-2.3666603266232169</v>
      </c>
      <c r="F47" s="26">
        <v>38386.911571354554</v>
      </c>
      <c r="G47" s="26">
        <v>-20805.094484592715</v>
      </c>
    </row>
    <row r="48" spans="1:7" ht="15.75" x14ac:dyDescent="0.25">
      <c r="A48" s="1">
        <f t="shared" si="1"/>
        <v>225</v>
      </c>
      <c r="B48" s="28">
        <v>8.2948651553208883</v>
      </c>
      <c r="C48" s="28">
        <v>-7.2948651553208883</v>
      </c>
      <c r="D48" s="28">
        <v>2.8800807549999163</v>
      </c>
      <c r="E48" s="28">
        <v>-1.8800807549999163</v>
      </c>
      <c r="F48" s="26">
        <v>39869.941502014219</v>
      </c>
      <c r="G48" s="26">
        <v>-19318.852996633315</v>
      </c>
    </row>
    <row r="49" spans="1:7" ht="15.75" x14ac:dyDescent="0.25">
      <c r="A49" s="1">
        <f t="shared" si="1"/>
        <v>230</v>
      </c>
      <c r="B49" s="27">
        <v>5.6658679566008221</v>
      </c>
      <c r="C49" s="27">
        <v>-4.665867956600823</v>
      </c>
      <c r="D49" s="27">
        <v>2.3803083742659945</v>
      </c>
      <c r="E49" s="27">
        <v>-1.3803083742659945</v>
      </c>
      <c r="F49" s="26">
        <v>42023.462482494127</v>
      </c>
      <c r="G49" s="26">
        <v>-17159.7767889549</v>
      </c>
    </row>
    <row r="50" spans="1:7" ht="15.75" x14ac:dyDescent="0.25">
      <c r="A50" s="1">
        <f t="shared" si="1"/>
        <v>235</v>
      </c>
      <c r="B50" s="28">
        <v>3.7180574931251558</v>
      </c>
      <c r="C50" s="28">
        <v>-2.7180574931251558</v>
      </c>
      <c r="D50" s="28">
        <v>1.9282265149938052</v>
      </c>
      <c r="E50" s="28">
        <v>-0.92822651499380537</v>
      </c>
      <c r="F50" s="26">
        <v>44931.198347326033</v>
      </c>
      <c r="G50" s="26">
        <v>-14242.863194796972</v>
      </c>
    </row>
    <row r="51" spans="1:7" ht="15.75" x14ac:dyDescent="0.25">
      <c r="A51" s="1">
        <f t="shared" si="1"/>
        <v>240</v>
      </c>
      <c r="B51" s="27">
        <v>2.3914815827848774</v>
      </c>
      <c r="C51" s="27">
        <v>-1.3914815827848772</v>
      </c>
      <c r="D51" s="27">
        <v>1.5464415872527735</v>
      </c>
      <c r="E51" s="27">
        <v>-0.54644158725277325</v>
      </c>
      <c r="F51" s="26">
        <v>48707.178221972012</v>
      </c>
      <c r="G51" s="26">
        <v>-10452.086516122425</v>
      </c>
    </row>
    <row r="52" spans="1:7" ht="15.75" x14ac:dyDescent="0.25">
      <c r="A52" s="1">
        <f t="shared" si="1"/>
        <v>245</v>
      </c>
      <c r="B52" s="27">
        <v>1.5263392060669994</v>
      </c>
      <c r="C52" s="27">
        <v>-0.52633920606699958</v>
      </c>
      <c r="D52" s="27">
        <v>1.2354510132202732</v>
      </c>
      <c r="E52" s="27">
        <v>-0.23545101322027315</v>
      </c>
      <c r="F52" s="26">
        <v>53500.769024601825</v>
      </c>
      <c r="G52" s="26">
        <v>-5635.0196002550747</v>
      </c>
    </row>
    <row r="53" spans="1:7" ht="15.75" x14ac:dyDescent="0.25">
      <c r="A53" s="1">
        <f t="shared" si="1"/>
        <v>250</v>
      </c>
      <c r="B53" s="27">
        <v>0.97320511610328619</v>
      </c>
      <c r="C53" s="27">
        <v>2.6794883896713789E-2</v>
      </c>
      <c r="D53" s="27">
        <v>0.98651158944195194</v>
      </c>
      <c r="E53" s="27">
        <v>1.3488410558048126E-2</v>
      </c>
      <c r="F53" s="26">
        <v>59503.005629256346</v>
      </c>
      <c r="G53" s="26">
        <v>404.02531434046347</v>
      </c>
    </row>
    <row r="54" spans="1:7" ht="15.75" x14ac:dyDescent="0.25">
      <c r="A54" s="1">
        <f t="shared" si="1"/>
        <v>255</v>
      </c>
      <c r="B54" s="28">
        <v>0.62193015919739936</v>
      </c>
      <c r="C54" s="28">
        <v>0.37806984080260059</v>
      </c>
      <c r="D54" s="28">
        <v>0.78862548728620185</v>
      </c>
      <c r="E54" s="28">
        <v>0.21137451271379809</v>
      </c>
      <c r="F54" s="26">
        <v>66954.251202644286</v>
      </c>
      <c r="G54" s="26">
        <v>7912.4569803312916</v>
      </c>
    </row>
    <row r="55" spans="1:7" ht="15.75" x14ac:dyDescent="0.25">
      <c r="A55" s="1">
        <f t="shared" si="1"/>
        <v>260</v>
      </c>
      <c r="B55" s="27">
        <v>0.39881074932298421</v>
      </c>
      <c r="C55" s="27">
        <v>0.6011892506770159</v>
      </c>
      <c r="D55" s="27">
        <v>0.63151464695839332</v>
      </c>
      <c r="E55" s="27">
        <v>0.36848535304160673</v>
      </c>
      <c r="F55" s="26">
        <v>76153.141675872408</v>
      </c>
      <c r="G55" s="26">
        <v>17199.549723917957</v>
      </c>
    </row>
    <row r="56" spans="1:7" ht="15.75" x14ac:dyDescent="0.25">
      <c r="A56" s="1">
        <f t="shared" si="1"/>
        <v>265</v>
      </c>
      <c r="B56" s="27">
        <v>0.25659596883400576</v>
      </c>
      <c r="C56" s="27">
        <v>0.74340403116599429</v>
      </c>
      <c r="D56" s="27">
        <v>0.50655302667539726</v>
      </c>
      <c r="E56" s="27">
        <v>0.4934469733246028</v>
      </c>
      <c r="F56" s="26">
        <v>87466.631063658177</v>
      </c>
      <c r="G56" s="26">
        <v>28648.274306352123</v>
      </c>
    </row>
    <row r="57" spans="1:7" ht="15.75" x14ac:dyDescent="0.25">
      <c r="A57" s="1">
        <f t="shared" si="1"/>
        <v>270</v>
      </c>
      <c r="B57" s="27">
        <v>0.16551235409599846</v>
      </c>
      <c r="C57" s="27">
        <v>0.83448764590400171</v>
      </c>
      <c r="D57" s="27">
        <v>0.4068320957053394</v>
      </c>
      <c r="E57" s="27">
        <v>0.5931679042946606</v>
      </c>
      <c r="F57" s="26">
        <v>101340.73928352016</v>
      </c>
      <c r="G57" s="26">
        <v>42728.676807973323</v>
      </c>
    </row>
    <row r="58" spans="1:7" ht="15.75" x14ac:dyDescent="0.25">
      <c r="A58" s="1">
        <f t="shared" si="1"/>
        <v>275</v>
      </c>
      <c r="B58" s="27">
        <v>0.10688125276910736</v>
      </c>
      <c r="C58" s="27">
        <v>0.89311874723089257</v>
      </c>
      <c r="D58" s="27">
        <v>0.32692698384976937</v>
      </c>
      <c r="E58" s="27">
        <v>0.67307301615023063</v>
      </c>
      <c r="F58" s="26">
        <v>118311.29195826703</v>
      </c>
      <c r="G58" s="26">
        <v>60012.449134124341</v>
      </c>
    </row>
    <row r="59" spans="1:7" ht="15.75" x14ac:dyDescent="0.25">
      <c r="A59" s="1">
        <f t="shared" si="1"/>
        <v>280</v>
      </c>
      <c r="B59" s="27">
        <v>6.8960129660311981E-2</v>
      </c>
      <c r="C59" s="27">
        <v>0.93103987033968805</v>
      </c>
      <c r="D59" s="27">
        <v>0.26260260787035605</v>
      </c>
      <c r="E59" s="27">
        <v>0.73739739212964395</v>
      </c>
      <c r="F59" s="26">
        <v>139013.51737498376</v>
      </c>
      <c r="G59" s="26">
        <v>81188.01952736621</v>
      </c>
    </row>
    <row r="60" spans="1:7" ht="15.75" x14ac:dyDescent="0.25">
      <c r="A60" s="1">
        <f t="shared" si="1"/>
        <v>285</v>
      </c>
      <c r="B60" s="27">
        <v>4.4329987931127239E-2</v>
      </c>
      <c r="C60" s="27">
        <v>0.95567001206887292</v>
      </c>
      <c r="D60" s="27">
        <v>0.21054687822698118</v>
      </c>
      <c r="E60" s="27">
        <v>0.78945312177301885</v>
      </c>
      <c r="F60" s="26">
        <v>164188.82582903252</v>
      </c>
      <c r="G60" s="26">
        <v>107075.06123250864</v>
      </c>
    </row>
    <row r="61" spans="1:7" ht="15.75" x14ac:dyDescent="0.25">
      <c r="A61" s="1">
        <f t="shared" si="1"/>
        <v>290</v>
      </c>
      <c r="B61" s="27">
        <v>2.8275836941893843E-2</v>
      </c>
      <c r="C61" s="27">
        <v>0.97172416305810605</v>
      </c>
      <c r="D61" s="27">
        <v>0.16815420584063262</v>
      </c>
      <c r="E61" s="27">
        <v>0.83184579415936732</v>
      </c>
      <c r="F61" s="26">
        <v>194686.45948061725</v>
      </c>
      <c r="G61" s="26">
        <v>138636.75847675177</v>
      </c>
    </row>
    <row r="62" spans="1:7" ht="15.75" x14ac:dyDescent="0.25">
      <c r="A62" s="1">
        <f t="shared" si="1"/>
        <v>295</v>
      </c>
      <c r="B62" s="27">
        <v>1.7784489442447451E-2</v>
      </c>
      <c r="C62" s="27">
        <v>0.98221551055755263</v>
      </c>
      <c r="D62" s="27">
        <v>0.13335849970079691</v>
      </c>
      <c r="E62" s="27">
        <v>0.86664150029920306</v>
      </c>
      <c r="F62" s="26">
        <v>231457.02017900607</v>
      </c>
      <c r="G62" s="26">
        <v>176987.47508019037</v>
      </c>
    </row>
    <row r="63" spans="1:7" ht="15.75" x14ac:dyDescent="0.25">
      <c r="A63" s="1">
        <f t="shared" si="1"/>
        <v>300</v>
      </c>
      <c r="B63" s="27">
        <v>1.0921821648760696E-2</v>
      </c>
      <c r="C63" s="27">
        <v>0.98907817835123935</v>
      </c>
      <c r="D63" s="27">
        <v>0.1045075195799838</v>
      </c>
      <c r="E63" s="27">
        <v>0.89549248042001628</v>
      </c>
      <c r="F63" s="26">
        <v>275534.2611069312</v>
      </c>
      <c r="G63" s="26">
        <v>223392.64744269985</v>
      </c>
    </row>
    <row r="64" spans="1:7" ht="15.75" x14ac:dyDescent="0.25">
      <c r="A64" s="1">
        <f t="shared" si="1"/>
        <v>305</v>
      </c>
      <c r="B64" s="27">
        <v>6.4432051717566805E-3</v>
      </c>
      <c r="C64" s="27">
        <v>0.99355679482824344</v>
      </c>
      <c r="D64" s="27">
        <v>8.0269578121207788E-2</v>
      </c>
      <c r="E64" s="27">
        <v>0.91973042187879217</v>
      </c>
      <c r="F64" s="26">
        <v>328001.1280866256</v>
      </c>
      <c r="G64" s="26">
        <v>279256.79110254813</v>
      </c>
    </row>
    <row r="65" spans="1:7" ht="15.75" x14ac:dyDescent="0.25">
      <c r="A65" s="1">
        <f t="shared" si="1"/>
        <v>310</v>
      </c>
      <c r="B65" s="27">
        <v>3.5479742670484031E-3</v>
      </c>
      <c r="C65" s="27">
        <v>0.99645202573295155</v>
      </c>
      <c r="D65" s="27">
        <v>5.9564874439961703E-2</v>
      </c>
      <c r="E65" s="27">
        <v>0.94043512556003828</v>
      </c>
      <c r="F65" s="26">
        <v>389936.08174100507</v>
      </c>
      <c r="G65" s="26">
        <v>346094.51184979838</v>
      </c>
    </row>
    <row r="66" spans="1:7" ht="15.75" x14ac:dyDescent="0.25">
      <c r="A66" s="1">
        <f t="shared" si="1"/>
        <v>315</v>
      </c>
      <c r="B66" s="27">
        <v>1.7235350776805514E-3</v>
      </c>
      <c r="C66" s="27">
        <v>0.99827646492231947</v>
      </c>
      <c r="D66" s="27">
        <v>4.1515479976516612E-2</v>
      </c>
      <c r="E66" s="27">
        <v>0.95848452002348339</v>
      </c>
      <c r="F66" s="26">
        <v>462336.49110156321</v>
      </c>
      <c r="G66" s="26">
        <v>425478.42858064384</v>
      </c>
    </row>
    <row r="67" spans="1:7" ht="15.75" x14ac:dyDescent="0.25">
      <c r="A67" s="1">
        <f t="shared" si="1"/>
        <v>320</v>
      </c>
      <c r="B67" s="27">
        <v>6.4564588088428384E-4</v>
      </c>
      <c r="C67" s="27">
        <v>0.99935435411911577</v>
      </c>
      <c r="D67" s="27">
        <v>2.5409562784201617E-2</v>
      </c>
      <c r="E67" s="27">
        <v>0.97459043721579841</v>
      </c>
      <c r="F67" s="26">
        <v>546017.63385668991</v>
      </c>
      <c r="G67" s="26">
        <v>518957.09170396847</v>
      </c>
    </row>
    <row r="68" spans="1:7" ht="15.75" x14ac:dyDescent="0.25">
      <c r="A68" s="1">
        <f t="shared" ref="A68:A74" si="2">A67+5</f>
        <v>325</v>
      </c>
      <c r="B68" s="27">
        <v>1.139906014927807E-4</v>
      </c>
      <c r="C68" s="27">
        <v>0.99988600939850747</v>
      </c>
      <c r="D68" s="27">
        <v>1.0676638117534035E-2</v>
      </c>
      <c r="E68" s="27">
        <v>0.98932336188246606</v>
      </c>
      <c r="F68" s="26">
        <v>641488.76832702849</v>
      </c>
      <c r="G68" s="26">
        <v>627935.58390070789</v>
      </c>
    </row>
    <row r="69" spans="1:7" ht="15.75" x14ac:dyDescent="0.25">
      <c r="A69" s="1">
        <f t="shared" si="2"/>
        <v>330</v>
      </c>
      <c r="B69" s="27">
        <v>9.7878679687974228E-6</v>
      </c>
      <c r="C69" s="27">
        <v>0.99999021213203143</v>
      </c>
      <c r="D69" s="27">
        <v>-3.1285568508175494E-3</v>
      </c>
      <c r="E69" s="27">
        <v>1.0031285568508177</v>
      </c>
      <c r="F69" s="26">
        <v>748811.88513038273</v>
      </c>
      <c r="G69" s="26">
        <v>753511.99078452308</v>
      </c>
    </row>
    <row r="70" spans="1:7" ht="15.75" x14ac:dyDescent="0.25">
      <c r="A70" s="1">
        <f t="shared" si="2"/>
        <v>335</v>
      </c>
      <c r="B70" s="27">
        <v>2.668492331452461E-4</v>
      </c>
      <c r="C70" s="27">
        <v>0.99973315076685454</v>
      </c>
      <c r="D70" s="27">
        <v>-1.6335520596088945E-2</v>
      </c>
      <c r="E70" s="27">
        <v>1.0163355205960889</v>
      </c>
      <c r="F70" s="26">
        <v>867453.84538898233</v>
      </c>
      <c r="G70" s="26">
        <v>896265.11275546346</v>
      </c>
    </row>
    <row r="71" spans="1:7" ht="15.75" x14ac:dyDescent="0.25">
      <c r="A71" s="1">
        <f t="shared" si="2"/>
        <v>340</v>
      </c>
      <c r="B71" s="27">
        <v>8.5045759101884475E-4</v>
      </c>
      <c r="C71" s="27">
        <v>0.99914954240898113</v>
      </c>
      <c r="D71" s="27">
        <v>-2.9162606039564515E-2</v>
      </c>
      <c r="E71" s="27">
        <v>1.0291626060395644</v>
      </c>
      <c r="F71" s="26">
        <v>996148.03547799168</v>
      </c>
      <c r="G71" s="26">
        <v>1055993.8405457654</v>
      </c>
    </row>
    <row r="72" spans="1:7" ht="15.75" x14ac:dyDescent="0.25">
      <c r="A72" s="1">
        <f t="shared" si="2"/>
        <v>345</v>
      </c>
      <c r="B72" s="27">
        <v>1.7404550153396598E-3</v>
      </c>
      <c r="C72" s="27">
        <v>0.99825954498466019</v>
      </c>
      <c r="D72" s="27">
        <v>-4.1718760951634931E-2</v>
      </c>
      <c r="E72" s="27">
        <v>1.0417187609516347</v>
      </c>
      <c r="F72" s="26">
        <v>1132786.3874751341</v>
      </c>
      <c r="G72" s="26">
        <v>1231418.0679936255</v>
      </c>
    </row>
    <row r="73" spans="1:7" ht="15.75" x14ac:dyDescent="0.25">
      <c r="A73" s="1">
        <f t="shared" si="2"/>
        <v>350</v>
      </c>
      <c r="B73" s="27">
        <v>2.9165028309838773E-3</v>
      </c>
      <c r="C73" s="27">
        <v>0.99708349716901601</v>
      </c>
      <c r="D73" s="27">
        <v>-5.4004655641748861E-2</v>
      </c>
      <c r="E73" s="27">
        <v>1.0540046556417488</v>
      </c>
      <c r="F73" s="26">
        <v>1274365.2995768411</v>
      </c>
      <c r="G73" s="26">
        <v>1419866.3521473038</v>
      </c>
    </row>
    <row r="74" spans="1:7" ht="15.75" x14ac:dyDescent="0.25">
      <c r="A74" s="1">
        <f t="shared" si="2"/>
        <v>355</v>
      </c>
      <c r="B74" s="27">
        <v>4.3448942372128633E-3</v>
      </c>
      <c r="C74" s="27">
        <v>0.99565510576278715</v>
      </c>
      <c r="D74" s="27">
        <v>-6.591581173901194E-2</v>
      </c>
      <c r="E74" s="27">
        <v>1.065915811739012</v>
      </c>
      <c r="F74" s="26">
        <v>1417008.2502229048</v>
      </c>
      <c r="G74" s="26">
        <v>1616997.181045535</v>
      </c>
    </row>
    <row r="75" spans="1:7" ht="15.75" x14ac:dyDescent="0.25">
      <c r="A75" s="1" t="s">
        <v>114</v>
      </c>
      <c r="B75" s="27">
        <v>5.9676463062965767E-3</v>
      </c>
      <c r="C75" s="27">
        <v>0.99403235369370357</v>
      </c>
      <c r="D75" s="27">
        <v>-7.7250542433672117E-2</v>
      </c>
      <c r="E75" s="27">
        <v>1.077250542433672</v>
      </c>
      <c r="F75" s="26">
        <v>1556082.6533462091</v>
      </c>
      <c r="G75" s="26">
        <v>1816626.2452322694</v>
      </c>
    </row>
    <row r="76" spans="1:7" x14ac:dyDescent="0.25">
      <c r="A76" s="27">
        <v>365</v>
      </c>
      <c r="B76" s="27">
        <v>7.6957295810943351E-3</v>
      </c>
      <c r="C76" s="27">
        <v>0.99230427041890568</v>
      </c>
      <c r="D76" s="27">
        <v>-8.7725307529209234E-2</v>
      </c>
      <c r="E76" s="27">
        <v>1.0877253075292093</v>
      </c>
      <c r="F76" s="26">
        <v>1686418.414003548</v>
      </c>
      <c r="G76" s="26">
        <v>2010754.0011076906</v>
      </c>
    </row>
    <row r="77" spans="1:7" x14ac:dyDescent="0.25">
      <c r="A77" s="27">
        <f t="shared" ref="A77:A108" si="3">A76+5</f>
        <v>370</v>
      </c>
      <c r="B77" s="27">
        <v>9.4088486078821067E-3</v>
      </c>
      <c r="C77" s="27">
        <v>0.99059115139211806</v>
      </c>
      <c r="D77" s="27">
        <v>-9.699921962511919E-2</v>
      </c>
      <c r="E77" s="27">
        <v>1.0969992196251193</v>
      </c>
      <c r="F77" s="26">
        <v>1802621.4841912368</v>
      </c>
      <c r="G77" s="26">
        <v>2189892.195460022</v>
      </c>
    </row>
    <row r="78" spans="1:7" x14ac:dyDescent="0.25">
      <c r="A78" s="27">
        <f t="shared" si="3"/>
        <v>375</v>
      </c>
      <c r="B78" s="27">
        <v>1.096371614840304E-2</v>
      </c>
      <c r="C78" s="27">
        <v>0.98903628385159714</v>
      </c>
      <c r="D78" s="27">
        <v>-0.10470776546370876</v>
      </c>
      <c r="E78" s="27">
        <v>1.1047077654637087</v>
      </c>
      <c r="F78" s="26">
        <v>1899459.5004344143</v>
      </c>
      <c r="G78" s="26">
        <v>2343757.2441366422</v>
      </c>
    </row>
    <row r="79" spans="1:7" x14ac:dyDescent="0.25">
      <c r="A79" s="27">
        <f t="shared" si="3"/>
        <v>380</v>
      </c>
      <c r="B79" s="27">
        <v>1.2211012512820208E-2</v>
      </c>
      <c r="C79" s="27">
        <v>0.98778898748717991</v>
      </c>
      <c r="D79" s="27">
        <v>-0.11050345023038968</v>
      </c>
      <c r="E79" s="27">
        <v>1.1105034502303899</v>
      </c>
      <c r="F79" s="26">
        <v>1972281.3444615752</v>
      </c>
      <c r="G79" s="26">
        <v>2462320.1050267187</v>
      </c>
    </row>
    <row r="80" spans="1:7" x14ac:dyDescent="0.25">
      <c r="A80" s="27">
        <f t="shared" si="3"/>
        <v>385</v>
      </c>
      <c r="B80" s="27">
        <v>1.3018475583599738E-2</v>
      </c>
      <c r="C80" s="27">
        <v>0.9869815244164003</v>
      </c>
      <c r="D80" s="27">
        <v>-0.11409853453747658</v>
      </c>
      <c r="E80" s="27">
        <v>1.1140985345374765</v>
      </c>
      <c r="F80" s="26">
        <v>2017421.6655875922</v>
      </c>
      <c r="G80" s="26">
        <v>2537084.0988527215</v>
      </c>
    </row>
    <row r="81" spans="1:7" x14ac:dyDescent="0.25">
      <c r="A81" s="27">
        <f t="shared" si="3"/>
        <v>390</v>
      </c>
      <c r="B81" s="27">
        <v>1.3294816331462955E-2</v>
      </c>
      <c r="C81" s="27">
        <v>0.9867051836685371</v>
      </c>
      <c r="D81" s="27">
        <v>-0.11530314970313238</v>
      </c>
      <c r="E81" s="27">
        <v>1.1153031497031325</v>
      </c>
      <c r="F81" s="26">
        <v>2032538.0458699467</v>
      </c>
      <c r="G81" s="26">
        <v>2562342.2121255714</v>
      </c>
    </row>
    <row r="82" spans="1:7" x14ac:dyDescent="0.25">
      <c r="A82" s="27">
        <f t="shared" si="3"/>
        <v>395</v>
      </c>
      <c r="B82" s="27">
        <v>1.3007797086363924E-2</v>
      </c>
      <c r="C82" s="27">
        <v>0.9869922029136361</v>
      </c>
      <c r="D82" s="27">
        <v>-0.1140517298701073</v>
      </c>
      <c r="E82" s="27">
        <v>1.1140517298701074</v>
      </c>
      <c r="F82" s="26">
        <v>2016834.2251518359</v>
      </c>
      <c r="G82" s="26">
        <v>2536104.7965726247</v>
      </c>
    </row>
    <row r="83" spans="1:7" x14ac:dyDescent="0.25">
      <c r="A83" s="27">
        <f t="shared" si="3"/>
        <v>400</v>
      </c>
      <c r="B83" s="27">
        <v>1.2190891165897676E-2</v>
      </c>
      <c r="C83" s="27">
        <v>0.98780910883410233</v>
      </c>
      <c r="D83" s="27">
        <v>-0.11041236871790079</v>
      </c>
      <c r="E83" s="27">
        <v>1.1104123687179008</v>
      </c>
      <c r="F83" s="26">
        <v>1971137.2879107201</v>
      </c>
      <c r="G83" s="26">
        <v>2460438.0141646033</v>
      </c>
    </row>
    <row r="84" spans="1:7" x14ac:dyDescent="0.25">
      <c r="A84" s="27">
        <f t="shared" si="3"/>
        <v>405</v>
      </c>
      <c r="B84" s="27">
        <v>1.0936370752674536E-2</v>
      </c>
      <c r="C84" s="27">
        <v>0.9890636292473256</v>
      </c>
      <c r="D84" s="27">
        <v>-0.1045771043425593</v>
      </c>
      <c r="E84" s="27">
        <v>1.1045771043425594</v>
      </c>
      <c r="F84" s="26">
        <v>1897817.5014930947</v>
      </c>
      <c r="G84" s="26">
        <v>2341112.5296620103</v>
      </c>
    </row>
    <row r="85" spans="1:7" x14ac:dyDescent="0.25">
      <c r="A85" s="27">
        <f t="shared" si="3"/>
        <v>410</v>
      </c>
      <c r="B85" s="27">
        <v>9.3770567960120513E-3</v>
      </c>
      <c r="C85" s="27">
        <v>0.99062294320398803</v>
      </c>
      <c r="D85" s="27">
        <v>-9.6835204321631146E-2</v>
      </c>
      <c r="E85" s="27">
        <v>1.0968352043216312</v>
      </c>
      <c r="F85" s="26">
        <v>1800562.5499695286</v>
      </c>
      <c r="G85" s="26">
        <v>2186666.7100397092</v>
      </c>
    </row>
    <row r="86" spans="1:7" x14ac:dyDescent="0.25">
      <c r="A86" s="27">
        <f t="shared" si="3"/>
        <v>415</v>
      </c>
      <c r="B86" s="27">
        <v>7.6623576091967753E-3</v>
      </c>
      <c r="C86" s="27">
        <v>0.99233764239080313</v>
      </c>
      <c r="D86" s="27">
        <v>-8.7534893666450383E-2</v>
      </c>
      <c r="E86" s="27">
        <v>1.0875348936664504</v>
      </c>
      <c r="F86" s="26">
        <v>1684038.6090110037</v>
      </c>
      <c r="G86" s="26">
        <v>2007146.0671412197</v>
      </c>
    </row>
    <row r="87" spans="1:7" x14ac:dyDescent="0.25">
      <c r="A87" s="27">
        <f t="shared" si="3"/>
        <v>420</v>
      </c>
      <c r="B87" s="27">
        <v>5.9352538854084225E-3</v>
      </c>
      <c r="C87" s="27">
        <v>0.99406474611459161</v>
      </c>
      <c r="D87" s="27">
        <v>-7.7040598942430497E-2</v>
      </c>
      <c r="E87" s="27">
        <v>1.0770405989424303</v>
      </c>
      <c r="F87" s="26">
        <v>1553485.0411821895</v>
      </c>
      <c r="G87" s="26">
        <v>1812827.7985854852</v>
      </c>
    </row>
    <row r="88" spans="1:7" x14ac:dyDescent="0.25">
      <c r="A88" s="27">
        <f t="shared" si="3"/>
        <v>425</v>
      </c>
      <c r="B88" s="27">
        <v>4.3154912631087521E-3</v>
      </c>
      <c r="C88" s="27">
        <v>0.99568450873689118</v>
      </c>
      <c r="D88" s="27">
        <v>-6.5692398822913695E-2</v>
      </c>
      <c r="E88" s="27">
        <v>1.0656923988229137</v>
      </c>
      <c r="F88" s="26">
        <v>1414295.0493147892</v>
      </c>
      <c r="G88" s="26">
        <v>1613176.9471304743</v>
      </c>
    </row>
    <row r="89" spans="1:7" x14ac:dyDescent="0.25">
      <c r="A89" s="27">
        <f t="shared" si="3"/>
        <v>430</v>
      </c>
      <c r="B89" s="27">
        <v>2.8914780885410667E-3</v>
      </c>
      <c r="C89" s="27">
        <v>0.99710852191145893</v>
      </c>
      <c r="D89" s="27">
        <v>-5.3772465896042621E-2</v>
      </c>
      <c r="E89" s="27">
        <v>1.0537724658960426</v>
      </c>
      <c r="F89" s="26">
        <v>1271631.1044433215</v>
      </c>
      <c r="G89" s="26">
        <v>1416160.2747147777</v>
      </c>
    </row>
    <row r="90" spans="1:7" x14ac:dyDescent="0.25">
      <c r="A90" s="27">
        <f t="shared" si="3"/>
        <v>435</v>
      </c>
      <c r="B90" s="27">
        <v>1.7206520304017007E-3</v>
      </c>
      <c r="C90" s="27">
        <v>0.99827934796959839</v>
      </c>
      <c r="D90" s="27">
        <v>-4.1480742886328595E-2</v>
      </c>
      <c r="E90" s="27">
        <v>1.0414807428863286</v>
      </c>
      <c r="F90" s="26">
        <v>1130113.045951593</v>
      </c>
      <c r="G90" s="26">
        <v>1227926.268468925</v>
      </c>
    </row>
    <row r="91" spans="1:7" x14ac:dyDescent="0.25">
      <c r="A91" s="27">
        <f t="shared" si="3"/>
        <v>440</v>
      </c>
      <c r="B91" s="27">
        <v>8.3635193253938408E-4</v>
      </c>
      <c r="C91" s="27">
        <v>0.99916364806746072</v>
      </c>
      <c r="D91" s="27">
        <v>-2.8919749869931174E-2</v>
      </c>
      <c r="E91" s="27">
        <v>1.0289197498699312</v>
      </c>
      <c r="F91" s="26">
        <v>993601.46017457952</v>
      </c>
      <c r="G91" s="26">
        <v>1052782.3686418219</v>
      </c>
    </row>
    <row r="92" spans="1:7" x14ac:dyDescent="0.25">
      <c r="A92" s="27">
        <f t="shared" si="3"/>
        <v>445</v>
      </c>
      <c r="B92" s="27">
        <v>2.5878391637524506E-4</v>
      </c>
      <c r="C92" s="27">
        <v>0.99974121608362487</v>
      </c>
      <c r="D92" s="27">
        <v>-1.6086762147033973E-2</v>
      </c>
      <c r="E92" s="27">
        <v>1.016086762147034</v>
      </c>
      <c r="F92" s="26">
        <v>865082.73893570749</v>
      </c>
      <c r="G92" s="26">
        <v>893370.55888440716</v>
      </c>
    </row>
    <row r="93" spans="1:7" x14ac:dyDescent="0.25">
      <c r="A93" s="27">
        <f t="shared" si="3"/>
        <v>450</v>
      </c>
      <c r="B93" s="27">
        <v>8.2411825766105001E-6</v>
      </c>
      <c r="C93" s="27">
        <v>0.9999917588174233</v>
      </c>
      <c r="D93" s="27">
        <v>-2.8707459965330445E-3</v>
      </c>
      <c r="E93" s="27">
        <v>1.0028707459965331</v>
      </c>
      <c r="F93" s="26">
        <v>746648.12296601327</v>
      </c>
      <c r="G93" s="26">
        <v>750947.3391432896</v>
      </c>
    </row>
    <row r="94" spans="1:7" x14ac:dyDescent="0.25">
      <c r="A94" s="27">
        <f t="shared" si="3"/>
        <v>455</v>
      </c>
      <c r="B94" s="27">
        <v>1.1987528464401211E-4</v>
      </c>
      <c r="C94" s="27">
        <v>0.99988012471535614</v>
      </c>
      <c r="D94" s="27">
        <v>1.0948757219155612E-2</v>
      </c>
      <c r="E94" s="27">
        <v>0.98905124278084444</v>
      </c>
      <c r="F94" s="26">
        <v>639549.03639053088</v>
      </c>
      <c r="G94" s="26">
        <v>625696.17376187269</v>
      </c>
    </row>
    <row r="95" spans="1:7" x14ac:dyDescent="0.25">
      <c r="A95" s="27">
        <f t="shared" si="3"/>
        <v>460</v>
      </c>
      <c r="B95" s="27">
        <v>6.6066510234964683E-4</v>
      </c>
      <c r="C95" s="27">
        <v>0.99933933489765037</v>
      </c>
      <c r="D95" s="27">
        <v>2.5703406434744145E-2</v>
      </c>
      <c r="E95" s="27">
        <v>0.97429659356525589</v>
      </c>
      <c r="F95" s="26">
        <v>544305.86460108461</v>
      </c>
      <c r="G95" s="26">
        <v>517026.01981381554</v>
      </c>
    </row>
    <row r="96" spans="1:7" x14ac:dyDescent="0.25">
      <c r="A96" s="27">
        <f t="shared" si="3"/>
        <v>465</v>
      </c>
      <c r="B96" s="27">
        <v>1.7506487515197625E-3</v>
      </c>
      <c r="C96" s="27">
        <v>0.99824935124848013</v>
      </c>
      <c r="D96" s="27">
        <v>4.1840754671967406E-2</v>
      </c>
      <c r="E96" s="27">
        <v>0.95815924532803254</v>
      </c>
      <c r="F96" s="26">
        <v>460846.66471041285</v>
      </c>
      <c r="G96" s="26">
        <v>423831.08022098872</v>
      </c>
    </row>
    <row r="97" spans="1:7" x14ac:dyDescent="0.25">
      <c r="A97" s="27">
        <f t="shared" si="3"/>
        <v>470</v>
      </c>
      <c r="B97" s="27">
        <v>3.5920624361287568E-3</v>
      </c>
      <c r="C97" s="27">
        <v>0.99640793756387125</v>
      </c>
      <c r="D97" s="27">
        <v>5.993381713297391E-2</v>
      </c>
      <c r="E97" s="27">
        <v>0.94006618286702615</v>
      </c>
      <c r="F97" s="26">
        <v>388655.03521862318</v>
      </c>
      <c r="G97" s="26">
        <v>344702.14036409435</v>
      </c>
    </row>
    <row r="98" spans="1:7" x14ac:dyDescent="0.25">
      <c r="A98" s="27">
        <f t="shared" si="3"/>
        <v>475</v>
      </c>
      <c r="B98" s="27">
        <v>6.5120610603223135E-3</v>
      </c>
      <c r="C98" s="27">
        <v>0.99348793893967791</v>
      </c>
      <c r="D98" s="27">
        <v>8.0697342337417238E-2</v>
      </c>
      <c r="E98" s="27">
        <v>0.9193026576625829</v>
      </c>
      <c r="F98" s="26">
        <v>326911.11597094545</v>
      </c>
      <c r="G98" s="26">
        <v>278089.19848134398</v>
      </c>
    </row>
    <row r="99" spans="1:7" x14ac:dyDescent="0.25">
      <c r="A99" s="27">
        <f t="shared" si="3"/>
        <v>480</v>
      </c>
      <c r="B99" s="27">
        <v>1.1027677262754422E-2</v>
      </c>
      <c r="C99" s="27">
        <v>0.98897232273724567</v>
      </c>
      <c r="D99" s="27">
        <v>0.10501274809638315</v>
      </c>
      <c r="E99" s="27">
        <v>0.89498725190361694</v>
      </c>
      <c r="F99" s="26">
        <v>274615.11487554573</v>
      </c>
      <c r="G99" s="26">
        <v>222420.0828606397</v>
      </c>
    </row>
    <row r="100" spans="1:7" x14ac:dyDescent="0.25">
      <c r="A100" s="27">
        <f t="shared" si="3"/>
        <v>485</v>
      </c>
      <c r="B100" s="27">
        <v>1.7946389855901506E-2</v>
      </c>
      <c r="C100" s="27">
        <v>0.98205361014409864</v>
      </c>
      <c r="D100" s="27">
        <v>0.13396413645413277</v>
      </c>
      <c r="E100" s="27">
        <v>0.86603586354586726</v>
      </c>
      <c r="F100" s="26">
        <v>230687.84307975014</v>
      </c>
      <c r="G100" s="26">
        <v>176181.89056297892</v>
      </c>
    </row>
    <row r="101" spans="1:7" x14ac:dyDescent="0.25">
      <c r="A101" s="27">
        <f t="shared" si="3"/>
        <v>490</v>
      </c>
      <c r="B101" s="27">
        <v>2.8523365636216255E-2</v>
      </c>
      <c r="C101" s="27">
        <v>0.97147663436378384</v>
      </c>
      <c r="D101" s="27">
        <v>0.16888861902513222</v>
      </c>
      <c r="E101" s="27">
        <v>0.83111138097486781</v>
      </c>
      <c r="F101" s="26">
        <v>194046.86129119378</v>
      </c>
      <c r="G101" s="26">
        <v>137972.5597773958</v>
      </c>
    </row>
    <row r="102" spans="1:7" x14ac:dyDescent="0.25">
      <c r="A102" s="27">
        <f t="shared" si="3"/>
        <v>495</v>
      </c>
      <c r="B102" s="27">
        <v>4.4709154366564599E-2</v>
      </c>
      <c r="C102" s="27">
        <v>0.95529084563343558</v>
      </c>
      <c r="D102" s="27">
        <v>0.21144539334439189</v>
      </c>
      <c r="E102" s="27">
        <v>0.78855460665560817</v>
      </c>
      <c r="F102" s="26">
        <v>163659.7461423538</v>
      </c>
      <c r="G102" s="26">
        <v>106529.4791277089</v>
      </c>
    </row>
    <row r="103" spans="1:7" x14ac:dyDescent="0.25">
      <c r="A103" s="27">
        <f t="shared" si="3"/>
        <v>500</v>
      </c>
      <c r="B103" s="28">
        <v>6.9542743748409963E-2</v>
      </c>
      <c r="C103" s="28">
        <v>0.93045725625159004</v>
      </c>
      <c r="D103" s="28">
        <v>0.26370958220817453</v>
      </c>
      <c r="E103" s="28">
        <v>0.73629041779182547</v>
      </c>
      <c r="F103" s="26">
        <v>138577.70898638785</v>
      </c>
      <c r="G103" s="26">
        <v>80741.208805215225</v>
      </c>
    </row>
    <row r="104" spans="1:7" x14ac:dyDescent="0.25">
      <c r="A104" s="27">
        <f t="shared" si="3"/>
        <v>505</v>
      </c>
      <c r="B104" s="27">
        <v>0.1077799614954594</v>
      </c>
      <c r="C104" s="27">
        <v>0.89222003850454046</v>
      </c>
      <c r="D104" s="27">
        <v>0.32829858588708449</v>
      </c>
      <c r="E104" s="27">
        <v>0.67170141411291551</v>
      </c>
      <c r="F104" s="26">
        <v>117953.5426058376</v>
      </c>
      <c r="G104" s="26">
        <v>59647.40323430884</v>
      </c>
    </row>
    <row r="105" spans="1:7" x14ac:dyDescent="0.25">
      <c r="A105" s="27">
        <f t="shared" si="3"/>
        <v>510</v>
      </c>
      <c r="B105" s="27">
        <v>0.1669049028352684</v>
      </c>
      <c r="C105" s="27">
        <v>0.83309509716473151</v>
      </c>
      <c r="D105" s="27">
        <v>0.40853996479569588</v>
      </c>
      <c r="E105" s="27">
        <v>0.59146003520430412</v>
      </c>
      <c r="F105" s="26">
        <v>101047.90571380085</v>
      </c>
      <c r="G105" s="26">
        <v>42431.027421699524</v>
      </c>
    </row>
    <row r="106" spans="1:7" x14ac:dyDescent="0.25">
      <c r="A106" s="27">
        <f t="shared" si="3"/>
        <v>515</v>
      </c>
      <c r="B106" s="27">
        <v>0.25876442648537035</v>
      </c>
      <c r="C106" s="27">
        <v>0.74123557351462943</v>
      </c>
      <c r="D106" s="27">
        <v>0.50868892899823404</v>
      </c>
      <c r="E106" s="27">
        <v>0.49131107100176591</v>
      </c>
      <c r="F106" s="26">
        <v>87227.548956334867</v>
      </c>
      <c r="G106" s="26">
        <v>28406.02835672165</v>
      </c>
    </row>
    <row r="107" spans="1:7" x14ac:dyDescent="0.25">
      <c r="A107" s="27">
        <f t="shared" si="3"/>
        <v>520</v>
      </c>
      <c r="B107" s="27">
        <v>0.40220455115572806</v>
      </c>
      <c r="C107" s="27">
        <v>0.59779544884427194</v>
      </c>
      <c r="D107" s="27">
        <v>0.6341959879688045</v>
      </c>
      <c r="E107" s="27">
        <v>0.36580401203119545</v>
      </c>
      <c r="F107" s="26">
        <v>75958.462067057102</v>
      </c>
      <c r="G107" s="26">
        <v>17002.801607893354</v>
      </c>
    </row>
    <row r="108" spans="1:7" x14ac:dyDescent="0.25">
      <c r="A108" s="27">
        <f t="shared" si="3"/>
        <v>525</v>
      </c>
      <c r="B108" s="27">
        <v>0.62726526220606638</v>
      </c>
      <c r="C108" s="27">
        <v>0.37273473779393357</v>
      </c>
      <c r="D108" s="27">
        <v>0.79200079684686331</v>
      </c>
      <c r="E108" s="27">
        <v>0.20799920315313672</v>
      </c>
      <c r="F108" s="26">
        <v>66796.24120014369</v>
      </c>
      <c r="G108" s="26">
        <v>7753.1019895198697</v>
      </c>
    </row>
    <row r="109" spans="1:7" x14ac:dyDescent="0.25">
      <c r="A109" s="27">
        <f t="shared" ref="A109:A140" si="4">A108+5</f>
        <v>530</v>
      </c>
      <c r="B109" s="27">
        <v>0.98161176205576295</v>
      </c>
      <c r="C109" s="27">
        <v>1.8388237944236909E-2</v>
      </c>
      <c r="D109" s="27">
        <v>0.99076322199391464</v>
      </c>
      <c r="E109" s="27">
        <v>9.2367780060853052E-3</v>
      </c>
      <c r="F109" s="26">
        <v>59375.339858322848</v>
      </c>
      <c r="G109" s="26">
        <v>275.49074005792193</v>
      </c>
    </row>
    <row r="110" spans="1:7" x14ac:dyDescent="0.25">
      <c r="A110" s="27">
        <f t="shared" si="4"/>
        <v>535</v>
      </c>
      <c r="B110" s="27">
        <v>1.5395549168774543</v>
      </c>
      <c r="C110" s="27">
        <v>-0.53955491687745472</v>
      </c>
      <c r="D110" s="27">
        <v>1.2407880225394885</v>
      </c>
      <c r="E110" s="27">
        <v>-0.24078802253948869</v>
      </c>
      <c r="F110" s="26">
        <v>53398.329017580327</v>
      </c>
      <c r="G110" s="26">
        <v>-5738.0162343444417</v>
      </c>
    </row>
    <row r="111" spans="1:7" x14ac:dyDescent="0.25">
      <c r="A111" s="27">
        <f t="shared" si="4"/>
        <v>540</v>
      </c>
      <c r="B111" s="27">
        <v>2.4120170701057124</v>
      </c>
      <c r="C111" s="27">
        <v>-1.412017070105712</v>
      </c>
      <c r="D111" s="27">
        <v>1.5530669882866328</v>
      </c>
      <c r="E111" s="27">
        <v>-0.55306698828663281</v>
      </c>
      <c r="F111" s="26">
        <v>48625.869971184438</v>
      </c>
      <c r="G111" s="26">
        <v>-10533.747677270532</v>
      </c>
    </row>
    <row r="112" spans="1:7" x14ac:dyDescent="0.25">
      <c r="A112" s="27">
        <f t="shared" si="4"/>
        <v>545</v>
      </c>
      <c r="B112" s="27">
        <v>3.7490585834283672</v>
      </c>
      <c r="C112" s="27">
        <v>-2.7490585834283672</v>
      </c>
      <c r="D112" s="27">
        <v>1.936248585132696</v>
      </c>
      <c r="E112" s="27">
        <v>-0.93624858513269604</v>
      </c>
      <c r="F112" s="26">
        <v>44867.793269879046</v>
      </c>
      <c r="G112" s="26">
        <v>-14306.488959977531</v>
      </c>
    </row>
    <row r="113" spans="1:7" x14ac:dyDescent="0.25">
      <c r="A113" s="27">
        <f t="shared" si="4"/>
        <v>550</v>
      </c>
      <c r="B113" s="27">
        <v>5.7099624331114995</v>
      </c>
      <c r="C113" s="27">
        <v>-4.7099624331114986</v>
      </c>
      <c r="D113" s="27">
        <v>2.3895527684300046</v>
      </c>
      <c r="E113" s="27">
        <v>-1.3895527684300044</v>
      </c>
      <c r="F113" s="26">
        <v>41975.463750770003</v>
      </c>
      <c r="G113" s="26">
        <v>-17207.910850147968</v>
      </c>
    </row>
    <row r="114" spans="1:7" x14ac:dyDescent="0.25">
      <c r="A114" s="27">
        <f t="shared" si="4"/>
        <v>555</v>
      </c>
      <c r="B114" s="27">
        <v>8.3508791207722108</v>
      </c>
      <c r="C114" s="27">
        <v>-7.35087912077221</v>
      </c>
      <c r="D114" s="27">
        <v>2.889788767500526</v>
      </c>
      <c r="E114" s="27">
        <v>-1.889788767500526</v>
      </c>
      <c r="F114" s="26">
        <v>39835.475696493333</v>
      </c>
      <c r="G114" s="26">
        <v>-19353.399122401861</v>
      </c>
    </row>
    <row r="115" spans="1:7" x14ac:dyDescent="0.25">
      <c r="A115" s="27">
        <f t="shared" si="4"/>
        <v>560</v>
      </c>
      <c r="B115" s="27">
        <v>11.392114570753195</v>
      </c>
      <c r="C115" s="27">
        <v>-10.392114570753195</v>
      </c>
      <c r="D115" s="27">
        <v>3.3752206699345151</v>
      </c>
      <c r="E115" s="27">
        <v>-2.3752206699345151</v>
      </c>
      <c r="F115" s="26">
        <v>38364.644566815063</v>
      </c>
      <c r="G115" s="26">
        <v>-20827.40589428462</v>
      </c>
    </row>
    <row r="116" spans="1:7" x14ac:dyDescent="0.25">
      <c r="A116" s="27">
        <f t="shared" si="4"/>
        <v>565</v>
      </c>
      <c r="B116" s="27">
        <v>14.002478025322198</v>
      </c>
      <c r="C116" s="27">
        <v>-13.002478025322196</v>
      </c>
      <c r="D116" s="27">
        <v>3.7419885121846912</v>
      </c>
      <c r="E116" s="27">
        <v>-2.7419885121846908</v>
      </c>
      <c r="F116" s="26">
        <v>37506.225920296194</v>
      </c>
      <c r="G116" s="26">
        <v>-21687.45039018989</v>
      </c>
    </row>
    <row r="117" spans="1:7" x14ac:dyDescent="0.25">
      <c r="A117" s="27">
        <f t="shared" si="4"/>
        <v>570</v>
      </c>
      <c r="B117" s="27">
        <v>15.046169507088541</v>
      </c>
      <c r="C117" s="27">
        <v>-14.046169507088541</v>
      </c>
      <c r="D117" s="27">
        <v>3.8789392244644079</v>
      </c>
      <c r="E117" s="27">
        <v>-2.8789392244644079</v>
      </c>
      <c r="F117" s="26">
        <v>37227.284832271223</v>
      </c>
      <c r="G117" s="26">
        <v>-21966.883700155093</v>
      </c>
    </row>
    <row r="118" spans="1:7" x14ac:dyDescent="0.25">
      <c r="A118" s="27">
        <f t="shared" si="4"/>
        <v>575</v>
      </c>
      <c r="B118" s="27">
        <v>13.963833900278338</v>
      </c>
      <c r="C118" s="27">
        <v>-12.963833900278338</v>
      </c>
      <c r="D118" s="27">
        <v>3.7368213631746352</v>
      </c>
      <c r="E118" s="27">
        <v>-2.7368213631746352</v>
      </c>
      <c r="F118" s="26">
        <v>37517.150305366325</v>
      </c>
      <c r="G118" s="26">
        <v>-21676.506367625683</v>
      </c>
    </row>
    <row r="119" spans="1:7" x14ac:dyDescent="0.25">
      <c r="A119" s="27">
        <f t="shared" si="4"/>
        <v>580</v>
      </c>
      <c r="B119" s="27">
        <v>11.334401754858746</v>
      </c>
      <c r="C119" s="27">
        <v>-10.334401754858746</v>
      </c>
      <c r="D119" s="27">
        <v>3.3666603266232169</v>
      </c>
      <c r="E119" s="27">
        <v>-2.3666603266232169</v>
      </c>
      <c r="F119" s="26">
        <v>38386.911571354554</v>
      </c>
      <c r="G119" s="26">
        <v>-20805.094484592715</v>
      </c>
    </row>
    <row r="120" spans="1:7" x14ac:dyDescent="0.25">
      <c r="A120" s="27">
        <f t="shared" si="4"/>
        <v>585</v>
      </c>
      <c r="B120" s="28">
        <v>8.2948651553208883</v>
      </c>
      <c r="C120" s="28">
        <v>-7.2948651553208883</v>
      </c>
      <c r="D120" s="28">
        <v>2.8800807549999163</v>
      </c>
      <c r="E120" s="28">
        <v>-1.8800807549999163</v>
      </c>
      <c r="F120" s="26">
        <v>39869.941502014219</v>
      </c>
      <c r="G120" s="26">
        <v>-19318.852996633315</v>
      </c>
    </row>
    <row r="121" spans="1:7" x14ac:dyDescent="0.25">
      <c r="A121" s="27">
        <f t="shared" si="4"/>
        <v>590</v>
      </c>
      <c r="B121" s="27">
        <v>5.6658679566008221</v>
      </c>
      <c r="C121" s="27">
        <v>-4.665867956600823</v>
      </c>
      <c r="D121" s="27">
        <v>2.3803083742659945</v>
      </c>
      <c r="E121" s="27">
        <v>-1.3803083742659945</v>
      </c>
      <c r="F121" s="26">
        <v>42023.462482494127</v>
      </c>
      <c r="G121" s="26">
        <v>-17159.7767889549</v>
      </c>
    </row>
    <row r="122" spans="1:7" x14ac:dyDescent="0.25">
      <c r="A122" s="27">
        <f t="shared" si="4"/>
        <v>595</v>
      </c>
      <c r="B122" s="28">
        <v>3.7180574931251558</v>
      </c>
      <c r="C122" s="28">
        <v>-2.7180574931251558</v>
      </c>
      <c r="D122" s="28">
        <v>1.9282265149938052</v>
      </c>
      <c r="E122" s="28">
        <v>-0.92822651499380537</v>
      </c>
      <c r="F122" s="26">
        <v>44931.198347326033</v>
      </c>
      <c r="G122" s="26">
        <v>-14242.863194796972</v>
      </c>
    </row>
    <row r="123" spans="1:7" x14ac:dyDescent="0.25">
      <c r="A123" s="27">
        <f t="shared" si="4"/>
        <v>600</v>
      </c>
      <c r="B123" s="27">
        <v>2.3914815827848774</v>
      </c>
      <c r="C123" s="27">
        <v>-1.3914815827848772</v>
      </c>
      <c r="D123" s="27">
        <v>1.5464415872527735</v>
      </c>
      <c r="E123" s="27">
        <v>-0.54644158725277325</v>
      </c>
      <c r="F123" s="26">
        <v>48707.178221972012</v>
      </c>
      <c r="G123" s="26">
        <v>-10452.086516122425</v>
      </c>
    </row>
    <row r="124" spans="1:7" x14ac:dyDescent="0.25">
      <c r="A124" s="27">
        <f t="shared" si="4"/>
        <v>605</v>
      </c>
      <c r="B124" s="27">
        <v>1.5263392060669994</v>
      </c>
      <c r="C124" s="27">
        <v>-0.52633920606699958</v>
      </c>
      <c r="D124" s="27">
        <v>1.2354510132202732</v>
      </c>
      <c r="E124" s="27">
        <v>-0.23545101322027315</v>
      </c>
      <c r="F124" s="26">
        <v>53500.769024601825</v>
      </c>
      <c r="G124" s="26">
        <v>-5635.0196002550747</v>
      </c>
    </row>
    <row r="125" spans="1:7" x14ac:dyDescent="0.25">
      <c r="A125" s="27">
        <f t="shared" si="4"/>
        <v>610</v>
      </c>
      <c r="B125" s="27">
        <v>0.97320511610328619</v>
      </c>
      <c r="C125" s="27">
        <v>2.6794883896713789E-2</v>
      </c>
      <c r="D125" s="27">
        <v>0.98651158944195194</v>
      </c>
      <c r="E125" s="27">
        <v>1.3488410558048126E-2</v>
      </c>
      <c r="F125" s="26">
        <v>59503.005629256346</v>
      </c>
      <c r="G125" s="26">
        <v>404.02531434046347</v>
      </c>
    </row>
    <row r="126" spans="1:7" x14ac:dyDescent="0.25">
      <c r="A126" s="27">
        <f t="shared" si="4"/>
        <v>615</v>
      </c>
      <c r="B126" s="28">
        <v>0.62193015919739936</v>
      </c>
      <c r="C126" s="28">
        <v>0.37806984080260059</v>
      </c>
      <c r="D126" s="28">
        <v>0.78862548728620185</v>
      </c>
      <c r="E126" s="28">
        <v>0.21137451271379809</v>
      </c>
      <c r="F126" s="26">
        <v>66954.251202644286</v>
      </c>
      <c r="G126" s="26">
        <v>7912.4569803312916</v>
      </c>
    </row>
    <row r="127" spans="1:7" x14ac:dyDescent="0.25">
      <c r="A127" s="27">
        <f t="shared" si="4"/>
        <v>620</v>
      </c>
      <c r="B127" s="27">
        <v>0.39881074932298421</v>
      </c>
      <c r="C127" s="27">
        <v>0.6011892506770159</v>
      </c>
      <c r="D127" s="27">
        <v>0.63151464695839332</v>
      </c>
      <c r="E127" s="27">
        <v>0.36848535304160673</v>
      </c>
      <c r="F127" s="26">
        <v>76153.141675872408</v>
      </c>
      <c r="G127" s="26">
        <v>17199.549723917957</v>
      </c>
    </row>
    <row r="128" spans="1:7" x14ac:dyDescent="0.25">
      <c r="A128" s="27">
        <f t="shared" si="4"/>
        <v>625</v>
      </c>
      <c r="B128" s="27">
        <v>0.25659596883400576</v>
      </c>
      <c r="C128" s="27">
        <v>0.74340403116599429</v>
      </c>
      <c r="D128" s="27">
        <v>0.50655302667539726</v>
      </c>
      <c r="E128" s="27">
        <v>0.4934469733246028</v>
      </c>
      <c r="F128" s="26">
        <v>87466.631063658177</v>
      </c>
      <c r="G128" s="26">
        <v>28648.274306352123</v>
      </c>
    </row>
    <row r="129" spans="1:7" x14ac:dyDescent="0.25">
      <c r="A129" s="27">
        <f t="shared" si="4"/>
        <v>630</v>
      </c>
      <c r="B129" s="27">
        <v>0.16551235409599846</v>
      </c>
      <c r="C129" s="27">
        <v>0.83448764590400171</v>
      </c>
      <c r="D129" s="27">
        <v>0.4068320957053394</v>
      </c>
      <c r="E129" s="27">
        <v>0.5931679042946606</v>
      </c>
      <c r="F129" s="26">
        <v>101340.73928352016</v>
      </c>
      <c r="G129" s="26">
        <v>42728.676807973323</v>
      </c>
    </row>
    <row r="130" spans="1:7" x14ac:dyDescent="0.25">
      <c r="A130" s="27">
        <f t="shared" si="4"/>
        <v>635</v>
      </c>
      <c r="B130" s="27">
        <v>0.10688125276910736</v>
      </c>
      <c r="C130" s="27">
        <v>0.89311874723089257</v>
      </c>
      <c r="D130" s="27">
        <v>0.32692698384976937</v>
      </c>
      <c r="E130" s="27">
        <v>0.67307301615023063</v>
      </c>
      <c r="F130" s="26">
        <v>118311.29195826703</v>
      </c>
      <c r="G130" s="26">
        <v>60012.449134124341</v>
      </c>
    </row>
    <row r="131" spans="1:7" x14ac:dyDescent="0.25">
      <c r="A131" s="27">
        <f t="shared" si="4"/>
        <v>640</v>
      </c>
      <c r="B131" s="27">
        <v>6.8960129660311981E-2</v>
      </c>
      <c r="C131" s="27">
        <v>0.93103987033968805</v>
      </c>
      <c r="D131" s="27">
        <v>0.26260260787035605</v>
      </c>
      <c r="E131" s="27">
        <v>0.73739739212964395</v>
      </c>
      <c r="F131" s="26">
        <v>139013.51737498376</v>
      </c>
      <c r="G131" s="26">
        <v>81188.01952736621</v>
      </c>
    </row>
    <row r="132" spans="1:7" x14ac:dyDescent="0.25">
      <c r="A132" s="27">
        <f t="shared" si="4"/>
        <v>645</v>
      </c>
      <c r="B132" s="27">
        <v>4.4329987931127239E-2</v>
      </c>
      <c r="C132" s="27">
        <v>0.95567001206887292</v>
      </c>
      <c r="D132" s="27">
        <v>0.21054687822698118</v>
      </c>
      <c r="E132" s="27">
        <v>0.78945312177301885</v>
      </c>
      <c r="F132" s="26">
        <v>164188.82582903252</v>
      </c>
      <c r="G132" s="26">
        <v>107075.06123250864</v>
      </c>
    </row>
    <row r="133" spans="1:7" x14ac:dyDescent="0.25">
      <c r="A133" s="27">
        <f t="shared" si="4"/>
        <v>650</v>
      </c>
      <c r="B133" s="27">
        <v>2.8275836941893843E-2</v>
      </c>
      <c r="C133" s="27">
        <v>0.97172416305810605</v>
      </c>
      <c r="D133" s="27">
        <v>0.16815420584063262</v>
      </c>
      <c r="E133" s="27">
        <v>0.83184579415936732</v>
      </c>
      <c r="F133" s="26">
        <v>194686.45948061725</v>
      </c>
      <c r="G133" s="26">
        <v>138636.75847675177</v>
      </c>
    </row>
    <row r="134" spans="1:7" x14ac:dyDescent="0.25">
      <c r="A134" s="27">
        <f t="shared" si="4"/>
        <v>655</v>
      </c>
      <c r="B134" s="27">
        <v>1.7784489442447451E-2</v>
      </c>
      <c r="C134" s="27">
        <v>0.98221551055755263</v>
      </c>
      <c r="D134" s="27">
        <v>0.13335849970079691</v>
      </c>
      <c r="E134" s="27">
        <v>0.86664150029920306</v>
      </c>
      <c r="F134" s="26">
        <v>231457.02017900607</v>
      </c>
      <c r="G134" s="26">
        <v>176987.47508019037</v>
      </c>
    </row>
    <row r="135" spans="1:7" x14ac:dyDescent="0.25">
      <c r="A135" s="27">
        <f t="shared" si="4"/>
        <v>660</v>
      </c>
      <c r="B135" s="27">
        <v>1.0921821648760696E-2</v>
      </c>
      <c r="C135" s="27">
        <v>0.98907817835123935</v>
      </c>
      <c r="D135" s="27">
        <v>0.1045075195799838</v>
      </c>
      <c r="E135" s="27">
        <v>0.89549248042001628</v>
      </c>
      <c r="F135" s="26">
        <v>275534.2611069312</v>
      </c>
      <c r="G135" s="26">
        <v>223392.64744269985</v>
      </c>
    </row>
    <row r="136" spans="1:7" x14ac:dyDescent="0.25">
      <c r="A136" s="27">
        <f t="shared" si="4"/>
        <v>665</v>
      </c>
      <c r="B136" s="27">
        <v>6.4432051717566805E-3</v>
      </c>
      <c r="C136" s="27">
        <v>0.99355679482824344</v>
      </c>
      <c r="D136" s="27">
        <v>8.0269578121207788E-2</v>
      </c>
      <c r="E136" s="27">
        <v>0.91973042187879217</v>
      </c>
      <c r="F136" s="26">
        <v>328001.1280866256</v>
      </c>
      <c r="G136" s="26">
        <v>279256.79110254813</v>
      </c>
    </row>
    <row r="137" spans="1:7" x14ac:dyDescent="0.25">
      <c r="A137" s="27">
        <f t="shared" si="4"/>
        <v>670</v>
      </c>
      <c r="B137" s="27">
        <v>3.5479742670484031E-3</v>
      </c>
      <c r="C137" s="27">
        <v>0.99645202573295155</v>
      </c>
      <c r="D137" s="27">
        <v>5.9564874439961703E-2</v>
      </c>
      <c r="E137" s="27">
        <v>0.94043512556003828</v>
      </c>
      <c r="F137" s="26">
        <v>389936.08174100507</v>
      </c>
      <c r="G137" s="26">
        <v>346094.51184979838</v>
      </c>
    </row>
    <row r="138" spans="1:7" x14ac:dyDescent="0.25">
      <c r="A138" s="27">
        <f t="shared" si="4"/>
        <v>675</v>
      </c>
      <c r="B138" s="27">
        <v>1.7235350776805514E-3</v>
      </c>
      <c r="C138" s="27">
        <v>0.99827646492231947</v>
      </c>
      <c r="D138" s="27">
        <v>4.1515479976516612E-2</v>
      </c>
      <c r="E138" s="27">
        <v>0.95848452002348339</v>
      </c>
      <c r="F138" s="26">
        <v>462336.49110156321</v>
      </c>
      <c r="G138" s="26">
        <v>425478.42858064384</v>
      </c>
    </row>
    <row r="139" spans="1:7" x14ac:dyDescent="0.25">
      <c r="A139" s="27">
        <f t="shared" si="4"/>
        <v>680</v>
      </c>
      <c r="B139" s="27">
        <v>6.4564588088428384E-4</v>
      </c>
      <c r="C139" s="27">
        <v>0.99935435411911577</v>
      </c>
      <c r="D139" s="27">
        <v>2.5409562784201617E-2</v>
      </c>
      <c r="E139" s="27">
        <v>0.97459043721579841</v>
      </c>
      <c r="F139" s="26">
        <v>546017.63385668991</v>
      </c>
      <c r="G139" s="26">
        <v>518957.09170396847</v>
      </c>
    </row>
    <row r="140" spans="1:7" x14ac:dyDescent="0.25">
      <c r="A140" s="27">
        <f t="shared" si="4"/>
        <v>685</v>
      </c>
      <c r="B140" s="27">
        <v>1.139906014927807E-4</v>
      </c>
      <c r="C140" s="27">
        <v>0.99988600939850747</v>
      </c>
      <c r="D140" s="27">
        <v>1.0676638117534035E-2</v>
      </c>
      <c r="E140" s="27">
        <v>0.98932336188246606</v>
      </c>
      <c r="F140" s="26">
        <v>641488.76832702849</v>
      </c>
      <c r="G140" s="26">
        <v>627935.58390070789</v>
      </c>
    </row>
    <row r="141" spans="1:7" x14ac:dyDescent="0.25">
      <c r="A141" s="27">
        <f t="shared" ref="A141:A147" si="5">A140+5</f>
        <v>690</v>
      </c>
      <c r="B141" s="27">
        <v>9.7878679687974228E-6</v>
      </c>
      <c r="C141" s="27">
        <v>0.99999021213203143</v>
      </c>
      <c r="D141" s="27">
        <v>-3.1285568508175494E-3</v>
      </c>
      <c r="E141" s="27">
        <v>1.0031285568508177</v>
      </c>
      <c r="F141" s="26">
        <v>748811.88513038273</v>
      </c>
      <c r="G141" s="26">
        <v>753511.99078452308</v>
      </c>
    </row>
    <row r="142" spans="1:7" x14ac:dyDescent="0.25">
      <c r="A142" s="27">
        <f t="shared" si="5"/>
        <v>695</v>
      </c>
      <c r="B142" s="27">
        <v>2.668492331452461E-4</v>
      </c>
      <c r="C142" s="27">
        <v>0.99973315076685454</v>
      </c>
      <c r="D142" s="27">
        <v>-1.6335520596088945E-2</v>
      </c>
      <c r="E142" s="27">
        <v>1.0163355205960889</v>
      </c>
      <c r="F142" s="26">
        <v>867453.84538898233</v>
      </c>
      <c r="G142" s="26">
        <v>896265.11275546346</v>
      </c>
    </row>
    <row r="143" spans="1:7" x14ac:dyDescent="0.25">
      <c r="A143" s="27">
        <f t="shared" si="5"/>
        <v>700</v>
      </c>
      <c r="B143" s="27">
        <v>8.5045759101884475E-4</v>
      </c>
      <c r="C143" s="27">
        <v>0.99914954240898113</v>
      </c>
      <c r="D143" s="27">
        <v>-2.9162606039564515E-2</v>
      </c>
      <c r="E143" s="27">
        <v>1.0291626060395644</v>
      </c>
      <c r="F143" s="26">
        <v>996148.03547799168</v>
      </c>
      <c r="G143" s="26">
        <v>1055993.8405457654</v>
      </c>
    </row>
    <row r="144" spans="1:7" x14ac:dyDescent="0.25">
      <c r="A144" s="27">
        <f t="shared" si="5"/>
        <v>705</v>
      </c>
      <c r="B144" s="27">
        <v>1.7404550153396598E-3</v>
      </c>
      <c r="C144" s="27">
        <v>0.99825954498466019</v>
      </c>
      <c r="D144" s="27">
        <v>-4.1718760951634931E-2</v>
      </c>
      <c r="E144" s="27">
        <v>1.0417187609516347</v>
      </c>
      <c r="F144" s="26">
        <v>1132786.3874751341</v>
      </c>
      <c r="G144" s="26">
        <v>1231418.0679936255</v>
      </c>
    </row>
    <row r="145" spans="1:7" x14ac:dyDescent="0.25">
      <c r="A145" s="27">
        <f t="shared" si="5"/>
        <v>710</v>
      </c>
      <c r="B145" s="27">
        <v>2.9165028309838773E-3</v>
      </c>
      <c r="C145" s="27">
        <v>0.99708349716901601</v>
      </c>
      <c r="D145" s="27">
        <v>-5.4004655641748861E-2</v>
      </c>
      <c r="E145" s="27">
        <v>1.0540046556417488</v>
      </c>
      <c r="F145" s="26">
        <v>1274365.2995768411</v>
      </c>
      <c r="G145" s="26">
        <v>1419866.3521473038</v>
      </c>
    </row>
    <row r="146" spans="1:7" x14ac:dyDescent="0.25">
      <c r="A146" s="27">
        <f t="shared" si="5"/>
        <v>715</v>
      </c>
      <c r="B146" s="27">
        <v>4.3448942372128633E-3</v>
      </c>
      <c r="C146" s="27">
        <v>0.99565510576278715</v>
      </c>
      <c r="D146" s="27">
        <v>-6.591581173901194E-2</v>
      </c>
      <c r="E146" s="27">
        <v>1.065915811739012</v>
      </c>
      <c r="F146" s="26">
        <v>1417008.2502229048</v>
      </c>
      <c r="G146" s="26">
        <v>1616997.181045535</v>
      </c>
    </row>
    <row r="147" spans="1:7" x14ac:dyDescent="0.25">
      <c r="A147" s="27">
        <f t="shared" si="5"/>
        <v>720</v>
      </c>
      <c r="B147" s="27">
        <v>5.9676463062965767E-3</v>
      </c>
      <c r="C147" s="27">
        <v>0.99403235369370357</v>
      </c>
      <c r="D147" s="27">
        <v>-7.7250542433672117E-2</v>
      </c>
      <c r="E147" s="27">
        <v>1.077250542433672</v>
      </c>
      <c r="F147" s="26">
        <v>1556082.6533462091</v>
      </c>
      <c r="G147" s="26">
        <v>1816626.2452322694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D13" zoomScaleNormal="100" workbookViewId="0">
      <selection activeCell="AL70" sqref="AL7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7"/>
  <sheetViews>
    <sheetView workbookViewId="0">
      <selection activeCell="G2" sqref="G2"/>
    </sheetView>
  </sheetViews>
  <sheetFormatPr defaultRowHeight="15" x14ac:dyDescent="0.25"/>
  <cols>
    <col min="2" max="2" width="18.28515625" customWidth="1"/>
    <col min="3" max="3" width="20.7109375" customWidth="1"/>
    <col min="4" max="4" width="20" customWidth="1"/>
    <col min="5" max="5" width="20.7109375" customWidth="1"/>
    <col min="6" max="6" width="13" customWidth="1"/>
    <col min="7" max="7" width="14.28515625" customWidth="1"/>
  </cols>
  <sheetData>
    <row r="1" spans="1:7" x14ac:dyDescent="0.25">
      <c r="B1" s="31">
        <f>EQUATIONS!D25</f>
        <v>0.31870339820505394</v>
      </c>
      <c r="C1" s="31">
        <f>EQUATIONS!D26</f>
        <v>0.68129660179494622</v>
      </c>
      <c r="D1" s="31">
        <f>EQUATIONS!D27</f>
        <v>0.56453821677992178</v>
      </c>
      <c r="E1" s="31">
        <f>EQUATIONS!D28</f>
        <v>0.43546178322007834</v>
      </c>
      <c r="F1" s="31">
        <f>EQUATIONS!D17</f>
        <v>241775.66076142967</v>
      </c>
      <c r="G1" s="31">
        <f>EQUATIONS!D22</f>
        <v>67294.01637185755</v>
      </c>
    </row>
    <row r="2" spans="1:7" ht="15.75" x14ac:dyDescent="0.25">
      <c r="A2" s="12" t="s">
        <v>100</v>
      </c>
      <c r="B2" s="7" t="s">
        <v>31</v>
      </c>
      <c r="C2" s="7" t="s">
        <v>62</v>
      </c>
      <c r="D2" s="7" t="s">
        <v>77</v>
      </c>
      <c r="E2" s="7" t="s">
        <v>63</v>
      </c>
      <c r="F2" s="29" t="s">
        <v>108</v>
      </c>
      <c r="G2" s="29" t="s">
        <v>109</v>
      </c>
    </row>
    <row r="3" spans="1:7" ht="15.75" x14ac:dyDescent="0.25">
      <c r="A3" s="1">
        <v>0</v>
      </c>
      <c r="B3" s="27">
        <v>0.31870339820505394</v>
      </c>
      <c r="C3" s="27">
        <v>0.68129660179494622</v>
      </c>
      <c r="D3" s="27">
        <v>0.56453821677992178</v>
      </c>
      <c r="E3" s="27">
        <v>0.43546178322007834</v>
      </c>
      <c r="F3" s="26">
        <v>241775.66076142967</v>
      </c>
      <c r="G3" s="26">
        <v>67294.01637185755</v>
      </c>
    </row>
    <row r="4" spans="1:7" ht="15.75" x14ac:dyDescent="0.25">
      <c r="A4" s="1">
        <f t="shared" ref="A4:A67" si="0">A3+5</f>
        <v>5</v>
      </c>
      <c r="B4" s="27">
        <v>0.36907181871789013</v>
      </c>
      <c r="C4" s="27">
        <v>0.63092818128211003</v>
      </c>
      <c r="D4" s="27">
        <v>0.60751281362444531</v>
      </c>
      <c r="E4" s="27">
        <v>0.39248718637555469</v>
      </c>
      <c r="F4" s="26">
        <v>262026.52249169053</v>
      </c>
      <c r="G4" s="26">
        <v>63975.883549355676</v>
      </c>
    </row>
    <row r="5" spans="1:7" ht="15.75" x14ac:dyDescent="0.25">
      <c r="A5" s="1">
        <f t="shared" si="0"/>
        <v>10</v>
      </c>
      <c r="B5" s="27">
        <v>0.41013682320946382</v>
      </c>
      <c r="C5" s="27">
        <v>0.58986317679053624</v>
      </c>
      <c r="D5" s="27">
        <v>0.6404192558078371</v>
      </c>
      <c r="E5" s="27">
        <v>0.35958074419216296</v>
      </c>
      <c r="F5" s="26">
        <v>280081.52362978522</v>
      </c>
      <c r="G5" s="26">
        <v>61394.013966067891</v>
      </c>
    </row>
    <row r="6" spans="1:7" ht="15.75" x14ac:dyDescent="0.25">
      <c r="A6" s="1">
        <f t="shared" si="0"/>
        <v>15</v>
      </c>
      <c r="B6" s="27">
        <v>0.44167746176819844</v>
      </c>
      <c r="C6" s="27">
        <v>0.55832253823180156</v>
      </c>
      <c r="D6" s="27">
        <v>0.66458818960932364</v>
      </c>
      <c r="E6" s="27">
        <v>0.33541181039067625</v>
      </c>
      <c r="F6" s="26">
        <v>295127.68799237395</v>
      </c>
      <c r="G6" s="26">
        <v>59467.748686339917</v>
      </c>
    </row>
    <row r="7" spans="1:7" ht="15.75" x14ac:dyDescent="0.25">
      <c r="A7" s="1">
        <f t="shared" si="0"/>
        <v>20</v>
      </c>
      <c r="B7" s="27">
        <v>0.4638684329366195</v>
      </c>
      <c r="C7" s="27">
        <v>0.53613156706338072</v>
      </c>
      <c r="D7" s="27">
        <v>0.68107887424043589</v>
      </c>
      <c r="E7" s="27">
        <v>0.31892112575956422</v>
      </c>
      <c r="F7" s="26">
        <v>306442.35011502623</v>
      </c>
      <c r="G7" s="26">
        <v>58135.844056245478</v>
      </c>
    </row>
    <row r="8" spans="1:7" ht="15.75" x14ac:dyDescent="0.25">
      <c r="A8" s="1">
        <f t="shared" si="0"/>
        <v>25</v>
      </c>
      <c r="B8" s="27">
        <v>0.47699580274037767</v>
      </c>
      <c r="C8" s="27">
        <v>0.52300419725962244</v>
      </c>
      <c r="D8" s="27">
        <v>0.69064882736480315</v>
      </c>
      <c r="E8" s="27">
        <v>0.30935117263519685</v>
      </c>
      <c r="F8" s="26">
        <v>313456.00774031802</v>
      </c>
      <c r="G8" s="26">
        <v>57355.485062594409</v>
      </c>
    </row>
    <row r="9" spans="1:7" ht="15.75" x14ac:dyDescent="0.25">
      <c r="A9" s="1">
        <f t="shared" si="0"/>
        <v>30</v>
      </c>
      <c r="B9" s="27">
        <v>0.48128775592934842</v>
      </c>
      <c r="C9" s="27">
        <v>0.51871224407065175</v>
      </c>
      <c r="D9" s="27">
        <v>0.69374905832681921</v>
      </c>
      <c r="E9" s="27">
        <v>0.3062509416731809</v>
      </c>
      <c r="F9" s="26">
        <v>315804.70870631625</v>
      </c>
      <c r="G9" s="26">
        <v>57101.427717796018</v>
      </c>
    </row>
    <row r="10" spans="1:7" ht="15.75" x14ac:dyDescent="0.25">
      <c r="A10" s="1">
        <f t="shared" si="0"/>
        <v>35</v>
      </c>
      <c r="B10" s="27">
        <v>0.47682796993834942</v>
      </c>
      <c r="C10" s="27">
        <v>0.52317203006165058</v>
      </c>
      <c r="D10" s="27">
        <v>0.69052731295608394</v>
      </c>
      <c r="E10" s="27">
        <v>0.30947268704391617</v>
      </c>
      <c r="F10" s="26">
        <v>313364.73443988786</v>
      </c>
      <c r="G10" s="26">
        <v>57365.430093133655</v>
      </c>
    </row>
    <row r="11" spans="1:7" ht="15.75" x14ac:dyDescent="0.25">
      <c r="A11" s="1">
        <f t="shared" si="0"/>
        <v>40</v>
      </c>
      <c r="B11" s="27">
        <v>0.46352958460763155</v>
      </c>
      <c r="C11" s="27">
        <v>0.53647041539236828</v>
      </c>
      <c r="D11" s="27">
        <v>0.68083007028746279</v>
      </c>
      <c r="E11" s="27">
        <v>0.31916992971253716</v>
      </c>
      <c r="F11" s="26">
        <v>306264.59282948839</v>
      </c>
      <c r="G11" s="26">
        <v>58156.056519210724</v>
      </c>
    </row>
    <row r="12" spans="1:7" ht="15.75" x14ac:dyDescent="0.25">
      <c r="A12" s="1">
        <f t="shared" si="0"/>
        <v>45</v>
      </c>
      <c r="B12" s="27">
        <v>0.44116227362609212</v>
      </c>
      <c r="C12" s="27">
        <v>0.55883772637390794</v>
      </c>
      <c r="D12" s="27">
        <v>0.66420047698424012</v>
      </c>
      <c r="E12" s="27">
        <v>0.33579952301575988</v>
      </c>
      <c r="F12" s="26">
        <v>294872.56312599662</v>
      </c>
      <c r="G12" s="26">
        <v>59498.880944667522</v>
      </c>
    </row>
    <row r="13" spans="1:7" ht="15.75" x14ac:dyDescent="0.25">
      <c r="A13" s="1">
        <f t="shared" si="0"/>
        <v>50</v>
      </c>
      <c r="B13" s="27">
        <v>0.40944020240058859</v>
      </c>
      <c r="C13" s="27">
        <v>0.59055979759941146</v>
      </c>
      <c r="D13" s="27">
        <v>0.63987514594691719</v>
      </c>
      <c r="E13" s="27">
        <v>0.36012485405308287</v>
      </c>
      <c r="F13" s="26">
        <v>279761.61762681854</v>
      </c>
      <c r="G13" s="26">
        <v>61437.062429125719</v>
      </c>
    </row>
    <row r="14" spans="1:7" ht="15.75" x14ac:dyDescent="0.25">
      <c r="A14" s="1">
        <f t="shared" si="0"/>
        <v>55</v>
      </c>
      <c r="B14" s="27">
        <v>0.36819315478590581</v>
      </c>
      <c r="C14" s="27">
        <v>0.63180684521409403</v>
      </c>
      <c r="D14" s="27">
        <v>0.60678921775679717</v>
      </c>
      <c r="E14" s="27">
        <v>0.39321078224320277</v>
      </c>
      <c r="F14" s="26">
        <v>261656.76133323379</v>
      </c>
      <c r="G14" s="26">
        <v>64032.207003916235</v>
      </c>
    </row>
    <row r="15" spans="1:7" ht="15.75" x14ac:dyDescent="0.25">
      <c r="A15" s="1">
        <f t="shared" si="0"/>
        <v>60</v>
      </c>
      <c r="B15" s="27">
        <v>0.31765334860826094</v>
      </c>
      <c r="C15" s="27">
        <v>0.68234665139173889</v>
      </c>
      <c r="D15" s="27">
        <v>0.56360744193832368</v>
      </c>
      <c r="E15" s="27">
        <v>0.43639255806167621</v>
      </c>
      <c r="F15" s="26">
        <v>241372.05790909572</v>
      </c>
      <c r="G15" s="26">
        <v>67365.354609073402</v>
      </c>
    </row>
    <row r="16" spans="1:7" ht="15.75" x14ac:dyDescent="0.25">
      <c r="A16" s="1">
        <f t="shared" si="0"/>
        <v>65</v>
      </c>
      <c r="B16" s="27">
        <v>0.25888688219440653</v>
      </c>
      <c r="C16" s="27">
        <v>0.7411131178055933</v>
      </c>
      <c r="D16" s="27">
        <v>0.5088092788014057</v>
      </c>
      <c r="E16" s="27">
        <v>0.4911907211985943</v>
      </c>
      <c r="F16" s="26">
        <v>219745.47388237217</v>
      </c>
      <c r="G16" s="26">
        <v>71537.827419880457</v>
      </c>
    </row>
    <row r="17" spans="1:7" ht="15.75" x14ac:dyDescent="0.25">
      <c r="A17" s="1">
        <f t="shared" si="0"/>
        <v>70</v>
      </c>
      <c r="B17" s="27">
        <v>0.19436216263129694</v>
      </c>
      <c r="C17" s="27">
        <v>0.80563783736870298</v>
      </c>
      <c r="D17" s="27">
        <v>0.44086524316541092</v>
      </c>
      <c r="E17" s="27">
        <v>0.55913475683458902</v>
      </c>
      <c r="F17" s="26">
        <v>197579.12592909473</v>
      </c>
      <c r="G17" s="26">
        <v>76671.539587739724</v>
      </c>
    </row>
    <row r="18" spans="1:7" ht="15.75" x14ac:dyDescent="0.25">
      <c r="A18" s="1">
        <f t="shared" si="0"/>
        <v>75</v>
      </c>
      <c r="B18" s="27">
        <v>0.128551993740536</v>
      </c>
      <c r="C18" s="27">
        <v>0.87144800625946417</v>
      </c>
      <c r="D18" s="27">
        <v>0.35854148119922746</v>
      </c>
      <c r="E18" s="27">
        <v>0.64145851880077254</v>
      </c>
      <c r="F18" s="26">
        <v>175590.81957021667</v>
      </c>
      <c r="G18" s="26">
        <v>82908.198678702916</v>
      </c>
    </row>
    <row r="19" spans="1:7" ht="15.75" x14ac:dyDescent="0.25">
      <c r="A19" s="1">
        <f t="shared" si="0"/>
        <v>80</v>
      </c>
      <c r="B19" s="27">
        <v>6.8300959580327017E-2</v>
      </c>
      <c r="C19" s="27">
        <v>0.93169904041967311</v>
      </c>
      <c r="D19" s="27">
        <v>0.26134452276703068</v>
      </c>
      <c r="E19" s="27">
        <v>0.73865547723296943</v>
      </c>
      <c r="F19" s="26">
        <v>154380.39171675176</v>
      </c>
      <c r="G19" s="26">
        <v>90406.64137407286</v>
      </c>
    </row>
    <row r="20" spans="1:7" ht="15.75" x14ac:dyDescent="0.25">
      <c r="A20" s="1">
        <f t="shared" si="0"/>
        <v>85</v>
      </c>
      <c r="B20" s="27">
        <v>2.2515513088602019E-2</v>
      </c>
      <c r="C20" s="27">
        <v>0.97748448691139789</v>
      </c>
      <c r="D20" s="27">
        <v>0.15005170138522927</v>
      </c>
      <c r="E20" s="27">
        <v>0.84994829861477061</v>
      </c>
      <c r="F20" s="26">
        <v>134411.85169034419</v>
      </c>
      <c r="G20" s="26">
        <v>99337.38154577215</v>
      </c>
    </row>
    <row r="21" spans="1:7" ht="15.75" x14ac:dyDescent="0.25">
      <c r="A21" s="1">
        <f t="shared" si="0"/>
        <v>90</v>
      </c>
      <c r="B21" s="27">
        <v>7.3808477791893095E-4</v>
      </c>
      <c r="C21" s="27">
        <v>0.99926191522208119</v>
      </c>
      <c r="D21" s="27">
        <v>2.7167715728764003E-2</v>
      </c>
      <c r="E21" s="27">
        <v>0.97283228427123603</v>
      </c>
      <c r="F21" s="26">
        <v>116010.12510369861</v>
      </c>
      <c r="G21" s="26">
        <v>109873.38608393782</v>
      </c>
    </row>
    <row r="22" spans="1:7" ht="15.75" x14ac:dyDescent="0.25">
      <c r="A22" s="1">
        <f t="shared" si="0"/>
        <v>95</v>
      </c>
      <c r="B22" s="27">
        <v>1.0597263008670961E-2</v>
      </c>
      <c r="C22" s="27">
        <v>0.9894027369913293</v>
      </c>
      <c r="D22" s="27">
        <v>-0.10294300854682148</v>
      </c>
      <c r="E22" s="27">
        <v>1.1029430085468215</v>
      </c>
      <c r="F22" s="26">
        <v>99369.651432168161</v>
      </c>
      <c r="G22" s="26">
        <v>122176.25340760191</v>
      </c>
    </row>
    <row r="23" spans="1:7" ht="15.75" x14ac:dyDescent="0.25">
      <c r="A23" s="1">
        <f t="shared" si="0"/>
        <v>100</v>
      </c>
      <c r="B23" s="27">
        <v>5.4976928129452145E-2</v>
      </c>
      <c r="C23" s="27">
        <v>0.94502307187054768</v>
      </c>
      <c r="D23" s="27">
        <v>-0.23447159343820767</v>
      </c>
      <c r="E23" s="27">
        <v>1.2344715934382078</v>
      </c>
      <c r="F23" s="26">
        <v>84571.285328099533</v>
      </c>
      <c r="G23" s="26">
        <v>136377.49881417269</v>
      </c>
    </row>
    <row r="24" spans="1:7" ht="15.75" x14ac:dyDescent="0.25">
      <c r="A24" s="1">
        <f t="shared" si="0"/>
        <v>105</v>
      </c>
      <c r="B24" s="27">
        <v>0.13041840403385416</v>
      </c>
      <c r="C24" s="27">
        <v>0.8695815959661457</v>
      </c>
      <c r="D24" s="27">
        <v>-0.36113488343533662</v>
      </c>
      <c r="E24" s="27">
        <v>1.3611348834353365</v>
      </c>
      <c r="F24" s="26">
        <v>71603.848696892543</v>
      </c>
      <c r="G24" s="26">
        <v>152555.67055162817</v>
      </c>
    </row>
    <row r="25" spans="1:7" ht="15.75" x14ac:dyDescent="0.25">
      <c r="A25" s="1">
        <f t="shared" si="0"/>
        <v>110</v>
      </c>
      <c r="B25" s="27">
        <v>0.22790221626640506</v>
      </c>
      <c r="C25" s="27">
        <v>0.77209778373359517</v>
      </c>
      <c r="D25" s="27">
        <v>-0.47739105172427043</v>
      </c>
      <c r="E25" s="27">
        <v>1.4773910517242705</v>
      </c>
      <c r="F25" s="26">
        <v>60387.105881664713</v>
      </c>
      <c r="G25" s="26">
        <v>170711.52371854775</v>
      </c>
    </row>
    <row r="26" spans="1:7" ht="15.75" x14ac:dyDescent="0.25">
      <c r="A26" s="1">
        <f t="shared" si="0"/>
        <v>115</v>
      </c>
      <c r="B26" s="27">
        <v>0.33572310962947194</v>
      </c>
      <c r="C26" s="27">
        <v>0.66427689037052828</v>
      </c>
      <c r="D26" s="27">
        <v>-0.57941617998591644</v>
      </c>
      <c r="E26" s="27">
        <v>1.5794161799859165</v>
      </c>
      <c r="F26" s="26">
        <v>50793.671469934736</v>
      </c>
      <c r="G26" s="26">
        <v>190745.20403047735</v>
      </c>
    </row>
    <row r="27" spans="1:7" ht="15.75" x14ac:dyDescent="0.25">
      <c r="A27" s="1">
        <f t="shared" si="0"/>
        <v>120</v>
      </c>
      <c r="B27" s="27">
        <v>0.44287740704812084</v>
      </c>
      <c r="C27" s="27">
        <v>0.55712259295187938</v>
      </c>
      <c r="D27" s="27">
        <v>-0.66549035083021368</v>
      </c>
      <c r="E27" s="27">
        <v>1.6654903508302137</v>
      </c>
      <c r="F27" s="26">
        <v>42668.203203302997</v>
      </c>
      <c r="G27" s="26">
        <v>212440.74991180416</v>
      </c>
    </row>
    <row r="28" spans="1:7" ht="15.75" x14ac:dyDescent="0.25">
      <c r="A28" s="1">
        <f t="shared" si="0"/>
        <v>125</v>
      </c>
      <c r="B28" s="27">
        <v>0.54136426946554717</v>
      </c>
      <c r="C28" s="27">
        <v>0.45863573053445256</v>
      </c>
      <c r="D28" s="27">
        <v>-0.73577460506975045</v>
      </c>
      <c r="E28" s="27">
        <v>1.7357746050697505</v>
      </c>
      <c r="F28" s="26">
        <v>35843.022586427091</v>
      </c>
      <c r="G28" s="26">
        <v>235463.39439055556</v>
      </c>
    </row>
    <row r="29" spans="1:7" ht="15.75" x14ac:dyDescent="0.25">
      <c r="A29" s="1">
        <f t="shared" si="0"/>
        <v>130</v>
      </c>
      <c r="B29" s="27">
        <v>0.62683173255398217</v>
      </c>
      <c r="C29" s="27">
        <v>0.37316826744601789</v>
      </c>
      <c r="D29" s="27">
        <v>-0.79172705685354861</v>
      </c>
      <c r="E29" s="27">
        <v>1.7917270568535488</v>
      </c>
      <c r="F29" s="26">
        <v>30149.946088321096</v>
      </c>
      <c r="G29" s="26">
        <v>259373.46134843407</v>
      </c>
    </row>
    <row r="30" spans="1:7" ht="15.75" x14ac:dyDescent="0.25">
      <c r="A30" s="1">
        <f t="shared" si="0"/>
        <v>135</v>
      </c>
      <c r="B30" s="27">
        <v>0.69799248923431445</v>
      </c>
      <c r="C30" s="27">
        <v>0.30200751076568544</v>
      </c>
      <c r="D30" s="27">
        <v>-0.83545944798913752</v>
      </c>
      <c r="E30" s="27">
        <v>1.8354594479891375</v>
      </c>
      <c r="F30" s="26">
        <v>25428.561380416482</v>
      </c>
      <c r="G30" s="26">
        <v>283657.08431181114</v>
      </c>
    </row>
    <row r="31" spans="1:7" ht="15.75" x14ac:dyDescent="0.25">
      <c r="A31" s="1">
        <f t="shared" si="0"/>
        <v>140</v>
      </c>
      <c r="B31" s="27">
        <v>0.75555964851527557</v>
      </c>
      <c r="C31" s="27">
        <v>0.24444035148472443</v>
      </c>
      <c r="D31" s="27">
        <v>-0.86922934172476918</v>
      </c>
      <c r="E31" s="27">
        <v>1.8692293417247692</v>
      </c>
      <c r="F31" s="26">
        <v>21531.450842241757</v>
      </c>
      <c r="G31" s="26">
        <v>307769.49672850262</v>
      </c>
    </row>
    <row r="32" spans="1:7" ht="15.75" x14ac:dyDescent="0.25">
      <c r="A32" s="1">
        <f t="shared" si="0"/>
        <v>145</v>
      </c>
      <c r="B32" s="27">
        <v>0.80125334785126534</v>
      </c>
      <c r="C32" s="27">
        <v>0.19874665214873485</v>
      </c>
      <c r="D32" s="27">
        <v>-0.89512755954180367</v>
      </c>
      <c r="E32" s="27">
        <v>1.8951275595418038</v>
      </c>
      <c r="F32" s="26">
        <v>18326.980023427364</v>
      </c>
      <c r="G32" s="26">
        <v>331182.95687429846</v>
      </c>
    </row>
    <row r="33" spans="1:7" ht="15.75" x14ac:dyDescent="0.25">
      <c r="A33" s="1">
        <f t="shared" si="0"/>
        <v>150</v>
      </c>
      <c r="B33" s="27">
        <v>0.83710369884715563</v>
      </c>
      <c r="C33" s="27">
        <v>0.16289630115284409</v>
      </c>
      <c r="D33" s="27">
        <v>-0.91493371281593716</v>
      </c>
      <c r="E33" s="27">
        <v>1.9149337128159372</v>
      </c>
      <c r="F33" s="26">
        <v>15700.274095322917</v>
      </c>
      <c r="G33" s="26">
        <v>353430.07389673975</v>
      </c>
    </row>
    <row r="34" spans="1:7" ht="15.75" x14ac:dyDescent="0.25">
      <c r="A34" s="1">
        <f t="shared" si="0"/>
        <v>155</v>
      </c>
      <c r="B34" s="27">
        <v>0.86505481574279863</v>
      </c>
      <c r="C34" s="27">
        <v>0.13494518425720134</v>
      </c>
      <c r="D34" s="27">
        <v>-0.93008323054595421</v>
      </c>
      <c r="E34" s="27">
        <v>1.9300832305459543</v>
      </c>
      <c r="F34" s="26">
        <v>13552.94221689756</v>
      </c>
      <c r="G34" s="26">
        <v>374134.94218415476</v>
      </c>
    </row>
    <row r="35" spans="1:7" ht="15.75" x14ac:dyDescent="0.25">
      <c r="A35" s="1">
        <f t="shared" si="0"/>
        <v>160</v>
      </c>
      <c r="B35" s="27">
        <v>0.88678762528207045</v>
      </c>
      <c r="C35" s="27">
        <v>0.11321237471792958</v>
      </c>
      <c r="D35" s="27">
        <v>-0.94169401892656746</v>
      </c>
      <c r="E35" s="27">
        <v>1.9416940189265675</v>
      </c>
      <c r="F35" s="26">
        <v>11802.012776887341</v>
      </c>
      <c r="G35" s="26">
        <v>393028.24853107298</v>
      </c>
    </row>
    <row r="36" spans="1:7" ht="15.75" x14ac:dyDescent="0.25">
      <c r="A36" s="1">
        <f t="shared" si="0"/>
        <v>165</v>
      </c>
      <c r="B36" s="27">
        <v>0.90367288306915527</v>
      </c>
      <c r="C36" s="27">
        <v>9.6327116930844933E-2</v>
      </c>
      <c r="D36" s="27">
        <v>-0.95061710644673092</v>
      </c>
      <c r="E36" s="27">
        <v>1.9506171064467308</v>
      </c>
      <c r="F36" s="26">
        <v>10378.436722378561</v>
      </c>
      <c r="G36" s="26">
        <v>409946.73969456687</v>
      </c>
    </row>
    <row r="37" spans="1:7" ht="15.75" x14ac:dyDescent="0.25">
      <c r="A37" s="1">
        <f t="shared" si="0"/>
        <v>170</v>
      </c>
      <c r="B37" s="27">
        <v>0.91678913583459531</v>
      </c>
      <c r="C37" s="27">
        <v>8.3210864165404491E-2</v>
      </c>
      <c r="D37" s="27">
        <v>-0.95749106305729836</v>
      </c>
      <c r="E37" s="27">
        <v>1.9574910630572984</v>
      </c>
      <c r="F37" s="26">
        <v>9225.4174264524299</v>
      </c>
      <c r="G37" s="26">
        <v>424820.60159714788</v>
      </c>
    </row>
    <row r="38" spans="1:7" ht="15.75" x14ac:dyDescent="0.25">
      <c r="A38" s="1">
        <f t="shared" si="0"/>
        <v>175</v>
      </c>
      <c r="B38" s="27">
        <v>0.92696601555397018</v>
      </c>
      <c r="C38" s="27">
        <v>7.3033984446029612E-2</v>
      </c>
      <c r="D38" s="27">
        <v>-0.96279074338818316</v>
      </c>
      <c r="E38" s="27">
        <v>1.962790743388183</v>
      </c>
      <c r="F38" s="26">
        <v>8296.7419847647998</v>
      </c>
      <c r="G38" s="26">
        <v>437653.68757205363</v>
      </c>
    </row>
    <row r="39" spans="1:7" ht="15.75" x14ac:dyDescent="0.25">
      <c r="A39" s="1">
        <f t="shared" si="0"/>
        <v>180</v>
      </c>
      <c r="B39" s="27">
        <v>0.93483211055270565</v>
      </c>
      <c r="C39" s="27">
        <v>6.5167889447294583E-2</v>
      </c>
      <c r="D39" s="27">
        <v>-0.9668671628267792</v>
      </c>
      <c r="E39" s="27">
        <v>1.9668671628267791</v>
      </c>
      <c r="F39" s="26">
        <v>7555.2232505780576</v>
      </c>
      <c r="G39" s="26">
        <v>448501.29923065729</v>
      </c>
    </row>
    <row r="40" spans="1:7" ht="15.75" x14ac:dyDescent="0.25">
      <c r="A40" s="1">
        <f t="shared" si="0"/>
        <v>185</v>
      </c>
      <c r="B40" s="27">
        <v>0.94085815552806296</v>
      </c>
      <c r="C40" s="27">
        <v>5.914184447193694E-2</v>
      </c>
      <c r="D40" s="27">
        <v>-0.96997843044475118</v>
      </c>
      <c r="E40" s="27">
        <v>1.9699784304447512</v>
      </c>
      <c r="F40" s="26">
        <v>6971.3137290006762</v>
      </c>
      <c r="G40" s="26">
        <v>457449.02353360277</v>
      </c>
    </row>
    <row r="41" spans="1:7" ht="15.75" x14ac:dyDescent="0.25">
      <c r="A41" s="1">
        <f t="shared" si="0"/>
        <v>190</v>
      </c>
      <c r="B41" s="27">
        <v>0.94539243045375021</v>
      </c>
      <c r="C41" s="27">
        <v>5.460756954624954E-2</v>
      </c>
      <c r="D41" s="27">
        <v>-0.97231292825599636</v>
      </c>
      <c r="E41" s="27">
        <v>1.9723129282559964</v>
      </c>
      <c r="F41" s="26">
        <v>6521.9192966942628</v>
      </c>
      <c r="G41" s="26">
        <v>464594.6622613949</v>
      </c>
    </row>
    <row r="42" spans="1:7" ht="15.75" x14ac:dyDescent="0.25">
      <c r="A42" s="1">
        <f t="shared" si="0"/>
        <v>195</v>
      </c>
      <c r="B42" s="27">
        <v>0.94868815098231263</v>
      </c>
      <c r="C42" s="27">
        <v>5.1311849017687407E-2</v>
      </c>
      <c r="D42" s="27">
        <v>-0.97400623765061822</v>
      </c>
      <c r="E42" s="27">
        <v>1.9740062376506182</v>
      </c>
      <c r="F42" s="26">
        <v>6189.4195899905781</v>
      </c>
      <c r="G42" s="26">
        <v>470034.03023606236</v>
      </c>
    </row>
    <row r="43" spans="1:7" ht="15.75" x14ac:dyDescent="0.25">
      <c r="A43" s="1">
        <f t="shared" si="0"/>
        <v>200</v>
      </c>
      <c r="B43" s="27">
        <v>0.95092375981130672</v>
      </c>
      <c r="C43" s="27">
        <v>4.9076240188693464E-2</v>
      </c>
      <c r="D43" s="27">
        <v>-0.97515319812391876</v>
      </c>
      <c r="E43" s="27">
        <v>1.9751531981239188</v>
      </c>
      <c r="F43" s="26">
        <v>5960.8898473822828</v>
      </c>
      <c r="G43" s="26">
        <v>473850.54641802324</v>
      </c>
    </row>
    <row r="44" spans="1:7" ht="15.75" x14ac:dyDescent="0.25">
      <c r="A44" s="1">
        <f t="shared" si="0"/>
        <v>205</v>
      </c>
      <c r="B44" s="27">
        <v>0.95221728699654395</v>
      </c>
      <c r="C44" s="27">
        <v>4.7782713003455969E-2</v>
      </c>
      <c r="D44" s="27">
        <v>-0.97581621578888711</v>
      </c>
      <c r="E44" s="27">
        <v>1.975816215788887</v>
      </c>
      <c r="F44" s="26">
        <v>5827.5134261325957</v>
      </c>
      <c r="G44" s="26">
        <v>476108.09890494042</v>
      </c>
    </row>
    <row r="45" spans="1:7" ht="15.75" x14ac:dyDescent="0.25">
      <c r="A45" s="1">
        <f t="shared" si="0"/>
        <v>210</v>
      </c>
      <c r="B45" s="27">
        <v>0.95263582276259295</v>
      </c>
      <c r="C45" s="27">
        <v>4.7364177237406851E-2</v>
      </c>
      <c r="D45" s="27">
        <v>-0.97603064642591675</v>
      </c>
      <c r="E45" s="27">
        <v>1.9760306464259167</v>
      </c>
      <c r="F45" s="26">
        <v>5784.1730767458057</v>
      </c>
      <c r="G45" s="26">
        <v>476846.53774892644</v>
      </c>
    </row>
    <row r="46" spans="1:7" ht="15.75" x14ac:dyDescent="0.25">
      <c r="A46" s="1">
        <f t="shared" si="0"/>
        <v>215</v>
      </c>
      <c r="B46" s="27">
        <v>0.95220087763144212</v>
      </c>
      <c r="C46" s="27">
        <v>4.7799122368557725E-2</v>
      </c>
      <c r="D46" s="27">
        <v>-0.97580780773236386</v>
      </c>
      <c r="E46" s="27">
        <v>1.975807807732364</v>
      </c>
      <c r="F46" s="26">
        <v>5829.2107976784228</v>
      </c>
      <c r="G46" s="26">
        <v>476079.22752741422</v>
      </c>
    </row>
    <row r="47" spans="1:7" ht="15.75" x14ac:dyDescent="0.25">
      <c r="A47" s="1">
        <f t="shared" si="0"/>
        <v>220</v>
      </c>
      <c r="B47" s="27">
        <v>0.95089009573294547</v>
      </c>
      <c r="C47" s="27">
        <v>4.9109904267054652E-2</v>
      </c>
      <c r="D47" s="27">
        <v>-0.97513593705336565</v>
      </c>
      <c r="E47" s="27">
        <v>1.9751359370533657</v>
      </c>
      <c r="F47" s="26">
        <v>5964.349573460544</v>
      </c>
      <c r="G47" s="26">
        <v>473792.28442974231</v>
      </c>
    </row>
    <row r="48" spans="1:7" ht="15.75" x14ac:dyDescent="0.25">
      <c r="A48" s="1">
        <f t="shared" si="0"/>
        <v>225</v>
      </c>
      <c r="B48" s="27">
        <v>0.94863547410519355</v>
      </c>
      <c r="C48" s="27">
        <v>5.1364525894806279E-2</v>
      </c>
      <c r="D48" s="27">
        <v>-0.97397919593038207</v>
      </c>
      <c r="E48" s="27">
        <v>1.9739791959303821</v>
      </c>
      <c r="F48" s="26">
        <v>6194.7746994287345</v>
      </c>
      <c r="G48" s="26">
        <v>469945.36938334478</v>
      </c>
    </row>
    <row r="49" spans="1:7" ht="15.75" x14ac:dyDescent="0.25">
      <c r="A49" s="1">
        <f t="shared" si="0"/>
        <v>230</v>
      </c>
      <c r="B49" s="27">
        <v>0.94531792920397706</v>
      </c>
      <c r="C49" s="27">
        <v>5.4682070796022893E-2</v>
      </c>
      <c r="D49" s="27">
        <v>-0.97227461614709298</v>
      </c>
      <c r="E49" s="27">
        <v>1.972274616147093</v>
      </c>
      <c r="F49" s="26">
        <v>6529.3770786143659</v>
      </c>
      <c r="G49" s="26">
        <v>464474.17066341412</v>
      </c>
    </row>
    <row r="50" spans="1:7" ht="15.75" x14ac:dyDescent="0.25">
      <c r="A50" s="1">
        <f t="shared" si="0"/>
        <v>235</v>
      </c>
      <c r="B50" s="27">
        <v>0.94075773875459789</v>
      </c>
      <c r="C50" s="27">
        <v>5.9242261245401842E-2</v>
      </c>
      <c r="D50" s="27">
        <v>-0.96992666668908434</v>
      </c>
      <c r="E50" s="27">
        <v>1.9699266666890842</v>
      </c>
      <c r="F50" s="26">
        <v>6981.1652651401046</v>
      </c>
      <c r="G50" s="26">
        <v>457294.95557352796</v>
      </c>
    </row>
    <row r="51" spans="1:7" ht="15.75" x14ac:dyDescent="0.25">
      <c r="A51" s="1">
        <f t="shared" si="0"/>
        <v>240</v>
      </c>
      <c r="B51" s="27">
        <v>0.93470007840901992</v>
      </c>
      <c r="C51" s="27">
        <v>6.5299921590980123E-2</v>
      </c>
      <c r="D51" s="27">
        <v>-0.96679888208924813</v>
      </c>
      <c r="E51" s="27">
        <v>1.9667988820892481</v>
      </c>
      <c r="F51" s="26">
        <v>7567.856484434401</v>
      </c>
      <c r="G51" s="26">
        <v>448311.76207404904</v>
      </c>
    </row>
    <row r="52" spans="1:7" ht="15.75" x14ac:dyDescent="0.25">
      <c r="A52" s="1">
        <f t="shared" si="0"/>
        <v>245</v>
      </c>
      <c r="B52" s="27">
        <v>0.92679460542730807</v>
      </c>
      <c r="C52" s="27">
        <v>7.3205394572691831E-2</v>
      </c>
      <c r="D52" s="27">
        <v>-0.96270172194055414</v>
      </c>
      <c r="E52" s="27">
        <v>1.9627017219405543</v>
      </c>
      <c r="F52" s="26">
        <v>8312.6585559911218</v>
      </c>
      <c r="G52" s="26">
        <v>437426.87626877765</v>
      </c>
    </row>
    <row r="53" spans="1:7" ht="15.75" x14ac:dyDescent="0.25">
      <c r="A53" s="1">
        <f t="shared" si="0"/>
        <v>250</v>
      </c>
      <c r="B53" s="27">
        <v>0.91656792168426204</v>
      </c>
      <c r="C53" s="27">
        <v>8.3432078315737651E-2</v>
      </c>
      <c r="D53" s="27">
        <v>-0.95737553848229384</v>
      </c>
      <c r="E53" s="27">
        <v>1.957375538482294</v>
      </c>
      <c r="F53" s="26">
        <v>9245.2534396986994</v>
      </c>
      <c r="G53" s="26">
        <v>424555.10956820741</v>
      </c>
    </row>
    <row r="54" spans="1:7" ht="15.75" x14ac:dyDescent="0.25">
      <c r="A54" s="1">
        <f t="shared" si="0"/>
        <v>255</v>
      </c>
      <c r="B54" s="27">
        <v>0.90338801786525214</v>
      </c>
      <c r="C54" s="27">
        <v>9.6611982134747615E-2</v>
      </c>
      <c r="D54" s="27">
        <v>-0.95046726291085493</v>
      </c>
      <c r="E54" s="27">
        <v>1.9504672629108548</v>
      </c>
      <c r="F54" s="26">
        <v>10402.987457315005</v>
      </c>
      <c r="G54" s="26">
        <v>409641.93913709273</v>
      </c>
    </row>
    <row r="55" spans="1:7" ht="15.75" x14ac:dyDescent="0.25">
      <c r="A55" s="1">
        <f t="shared" si="0"/>
        <v>260</v>
      </c>
      <c r="B55" s="27">
        <v>0.88642095132210208</v>
      </c>
      <c r="C55" s="27">
        <v>0.11357904867789806</v>
      </c>
      <c r="D55" s="27">
        <v>-0.94149931031419354</v>
      </c>
      <c r="E55" s="27">
        <v>1.9414993103141935</v>
      </c>
      <c r="F55" s="26">
        <v>11832.261035845102</v>
      </c>
      <c r="G55" s="26">
        <v>392684.71472609532</v>
      </c>
    </row>
    <row r="56" spans="1:7" ht="15.75" x14ac:dyDescent="0.25">
      <c r="A56" s="1">
        <f t="shared" si="0"/>
        <v>265</v>
      </c>
      <c r="B56" s="27">
        <v>0.86458294892924947</v>
      </c>
      <c r="C56" s="27">
        <v>0.13541705107075067</v>
      </c>
      <c r="D56" s="27">
        <v>-0.92982952681082864</v>
      </c>
      <c r="E56" s="27">
        <v>1.9298295268108288</v>
      </c>
      <c r="F56" s="26">
        <v>13590.089494614478</v>
      </c>
      <c r="G56" s="26">
        <v>373754.86849012575</v>
      </c>
    </row>
    <row r="57" spans="1:7" ht="15.75" x14ac:dyDescent="0.25">
      <c r="A57" s="1">
        <f t="shared" si="0"/>
        <v>270</v>
      </c>
      <c r="B57" s="27">
        <v>0.83649735552889859</v>
      </c>
      <c r="C57" s="27">
        <v>0.1635026444711016</v>
      </c>
      <c r="D57" s="27">
        <v>-0.91460229363855117</v>
      </c>
      <c r="E57" s="27">
        <v>1.9146022936385512</v>
      </c>
      <c r="F57" s="26">
        <v>15745.77298296861</v>
      </c>
      <c r="G57" s="26">
        <v>353017.59675729228</v>
      </c>
    </row>
    <row r="58" spans="1:7" ht="15.75" x14ac:dyDescent="0.25">
      <c r="A58" s="1">
        <f t="shared" si="0"/>
        <v>275</v>
      </c>
      <c r="B58" s="27">
        <v>0.80047747003167613</v>
      </c>
      <c r="C58" s="27">
        <v>0.19952252996832379</v>
      </c>
      <c r="D58" s="27">
        <v>-0.89469406504775484</v>
      </c>
      <c r="E58" s="27">
        <v>1.8946940650477548</v>
      </c>
      <c r="F58" s="26">
        <v>18382.565172381117</v>
      </c>
      <c r="G58" s="26">
        <v>330744.2942153138</v>
      </c>
    </row>
    <row r="59" spans="1:7" ht="15.75" x14ac:dyDescent="0.25">
      <c r="A59" s="1">
        <f t="shared" si="0"/>
        <v>280</v>
      </c>
      <c r="B59" s="27">
        <v>0.75457532090846513</v>
      </c>
      <c r="C59" s="27">
        <v>0.24542467909153493</v>
      </c>
      <c r="D59" s="27">
        <v>-0.86866295011843642</v>
      </c>
      <c r="E59" s="27">
        <v>1.8686629501184364</v>
      </c>
      <c r="F59" s="26">
        <v>21599.164379753125</v>
      </c>
      <c r="G59" s="26">
        <v>307312.81284572429</v>
      </c>
    </row>
    <row r="60" spans="1:7" ht="15.75" x14ac:dyDescent="0.25">
      <c r="A60" s="1">
        <f t="shared" si="0"/>
        <v>285</v>
      </c>
      <c r="B60" s="27">
        <v>0.69676216138541769</v>
      </c>
      <c r="C60" s="27">
        <v>0.30323783861458214</v>
      </c>
      <c r="D60" s="27">
        <v>-0.83472280511881169</v>
      </c>
      <c r="E60" s="27">
        <v>1.8347228051188118</v>
      </c>
      <c r="F60" s="26">
        <v>25510.766905018347</v>
      </c>
      <c r="G60" s="26">
        <v>283192.03898852447</v>
      </c>
    </row>
    <row r="61" spans="1:7" ht="15.75" x14ac:dyDescent="0.25">
      <c r="A61" s="1">
        <f t="shared" si="0"/>
        <v>290</v>
      </c>
      <c r="B61" s="27">
        <v>0.62532954296159615</v>
      </c>
      <c r="C61" s="27">
        <v>0.37467045703840385</v>
      </c>
      <c r="D61" s="27">
        <v>-0.79077780884493476</v>
      </c>
      <c r="E61" s="27">
        <v>1.7907778088449346</v>
      </c>
      <c r="F61" s="26">
        <v>30249.323376884229</v>
      </c>
      <c r="G61" s="26">
        <v>258910.47568539504</v>
      </c>
    </row>
    <row r="62" spans="1:7" ht="15.75" x14ac:dyDescent="0.25">
      <c r="A62" s="1">
        <f t="shared" si="0"/>
        <v>295</v>
      </c>
      <c r="B62" s="27">
        <v>0.53959255650795357</v>
      </c>
      <c r="C62" s="27">
        <v>0.46040744349204665</v>
      </c>
      <c r="D62" s="27">
        <v>-0.73456964033912642</v>
      </c>
      <c r="E62" s="27">
        <v>1.7345696403391264</v>
      </c>
      <c r="F62" s="26">
        <v>35962.533141355045</v>
      </c>
      <c r="G62" s="26">
        <v>235012.74781220633</v>
      </c>
    </row>
    <row r="63" spans="1:7" ht="15.75" x14ac:dyDescent="0.25">
      <c r="A63" s="1">
        <f t="shared" si="0"/>
        <v>300</v>
      </c>
      <c r="B63" s="27">
        <v>0.44088763462480224</v>
      </c>
      <c r="C63" s="27">
        <v>0.55911236537519793</v>
      </c>
      <c r="D63" s="27">
        <v>-0.66399370074180841</v>
      </c>
      <c r="E63" s="27">
        <v>1.6639937007418084</v>
      </c>
      <c r="F63" s="26">
        <v>42811.015146455073</v>
      </c>
      <c r="G63" s="26">
        <v>212011.67860047685</v>
      </c>
    </row>
    <row r="64" spans="1:7" ht="15.75" x14ac:dyDescent="0.25">
      <c r="A64" s="1">
        <f t="shared" si="0"/>
        <v>305</v>
      </c>
      <c r="B64" s="27">
        <v>0.33363383797956958</v>
      </c>
      <c r="C64" s="27">
        <v>0.66636616202043053</v>
      </c>
      <c r="D64" s="27">
        <v>-0.57761045522009868</v>
      </c>
      <c r="E64" s="27">
        <v>1.5776104552200987</v>
      </c>
      <c r="F64" s="26">
        <v>50963.031625026619</v>
      </c>
      <c r="G64" s="26">
        <v>190345.17429461761</v>
      </c>
    </row>
    <row r="65" spans="1:7" ht="15.75" x14ac:dyDescent="0.25">
      <c r="A65" s="1">
        <f t="shared" si="0"/>
        <v>310</v>
      </c>
      <c r="B65" s="27">
        <v>0.22590061482527682</v>
      </c>
      <c r="C65" s="27">
        <v>0.77409938517472321</v>
      </c>
      <c r="D65" s="27">
        <v>-0.4752900323226617</v>
      </c>
      <c r="E65" s="27">
        <v>1.4752900323226616</v>
      </c>
      <c r="F65" s="26">
        <v>60586.147924032441</v>
      </c>
      <c r="G65" s="26">
        <v>170345.80174797718</v>
      </c>
    </row>
    <row r="66" spans="1:7" ht="15.75" x14ac:dyDescent="0.25">
      <c r="A66" s="1">
        <f t="shared" si="0"/>
        <v>315</v>
      </c>
      <c r="B66" s="27">
        <v>0.12873183858569034</v>
      </c>
      <c r="C66" s="27">
        <v>0.87126816141430974</v>
      </c>
      <c r="D66" s="27">
        <v>-0.35879219415378916</v>
      </c>
      <c r="E66" s="27">
        <v>1.3587921941537893</v>
      </c>
      <c r="F66" s="26">
        <v>71835.3298199329</v>
      </c>
      <c r="G66" s="26">
        <v>152227.22576649144</v>
      </c>
    </row>
    <row r="67" spans="1:7" ht="15.75" x14ac:dyDescent="0.25">
      <c r="A67" s="1">
        <f t="shared" si="0"/>
        <v>320</v>
      </c>
      <c r="B67" s="27">
        <v>5.3814494701314879E-2</v>
      </c>
      <c r="C67" s="27">
        <v>0.94618550529868495</v>
      </c>
      <c r="D67" s="27">
        <v>-0.23197951353797361</v>
      </c>
      <c r="E67" s="27">
        <v>1.2319795135379736</v>
      </c>
      <c r="F67" s="26">
        <v>84837.250726502432</v>
      </c>
      <c r="G67" s="26">
        <v>136087.19652962446</v>
      </c>
    </row>
    <row r="68" spans="1:7" ht="15.75" x14ac:dyDescent="0.25">
      <c r="A68" s="1">
        <f t="shared" ref="A68:A74" si="1">A67+5</f>
        <v>325</v>
      </c>
      <c r="B68" s="27">
        <v>1.0083911186257104E-2</v>
      </c>
      <c r="C68" s="27">
        <v>0.98991608881374304</v>
      </c>
      <c r="D68" s="27">
        <v>-0.10041867946879755</v>
      </c>
      <c r="E68" s="27">
        <v>1.1004186794687976</v>
      </c>
      <c r="F68" s="26">
        <v>99671.036432276131</v>
      </c>
      <c r="G68" s="26">
        <v>121923.24116659713</v>
      </c>
    </row>
    <row r="69" spans="1:7" ht="15.75" x14ac:dyDescent="0.25">
      <c r="A69" s="1">
        <f t="shared" si="1"/>
        <v>330</v>
      </c>
      <c r="B69" s="27">
        <v>8.7644754051832219E-4</v>
      </c>
      <c r="C69" s="27">
        <v>0.9991235524594817</v>
      </c>
      <c r="D69" s="27">
        <v>2.9604856704911142E-2</v>
      </c>
      <c r="E69" s="27">
        <v>0.9703951432950888</v>
      </c>
      <c r="F69" s="26">
        <v>116346.31870234583</v>
      </c>
      <c r="G69" s="26">
        <v>109655.56531108817</v>
      </c>
    </row>
    <row r="70" spans="1:7" ht="15.75" x14ac:dyDescent="0.25">
      <c r="A70" s="1">
        <f t="shared" si="1"/>
        <v>335</v>
      </c>
      <c r="B70" s="27">
        <v>2.3195971548275632E-2</v>
      </c>
      <c r="C70" s="27">
        <v>0.97680402845172432</v>
      </c>
      <c r="D70" s="27">
        <v>0.15230223750252533</v>
      </c>
      <c r="E70" s="27">
        <v>0.84769776249747464</v>
      </c>
      <c r="F70" s="26">
        <v>134780.26131707156</v>
      </c>
      <c r="G70" s="26">
        <v>99151.873726233316</v>
      </c>
    </row>
    <row r="71" spans="1:7" ht="15.75" x14ac:dyDescent="0.25">
      <c r="A71" s="1">
        <f t="shared" si="1"/>
        <v>340</v>
      </c>
      <c r="B71" s="27">
        <v>6.9349376270419469E-2</v>
      </c>
      <c r="C71" s="27">
        <v>0.93065062372958074</v>
      </c>
      <c r="D71" s="27">
        <v>0.26334269739337651</v>
      </c>
      <c r="E71" s="27">
        <v>0.73665730260662354</v>
      </c>
      <c r="F71" s="26">
        <v>154776.06473922086</v>
      </c>
      <c r="G71" s="26">
        <v>90250.189908178392</v>
      </c>
    </row>
    <row r="72" spans="1:7" ht="15.75" x14ac:dyDescent="0.25">
      <c r="A72" s="1">
        <f t="shared" si="1"/>
        <v>345</v>
      </c>
      <c r="B72" s="27">
        <v>0.12978533148306887</v>
      </c>
      <c r="C72" s="27">
        <v>0.87021466851693119</v>
      </c>
      <c r="D72" s="27">
        <v>0.36025731287937635</v>
      </c>
      <c r="E72" s="27">
        <v>0.63974268712062365</v>
      </c>
      <c r="F72" s="26">
        <v>176006.18883861977</v>
      </c>
      <c r="G72" s="26">
        <v>82777.479768979159</v>
      </c>
    </row>
    <row r="73" spans="1:7" ht="15.75" x14ac:dyDescent="0.25">
      <c r="A73" s="1">
        <f t="shared" si="1"/>
        <v>350</v>
      </c>
      <c r="B73" s="27">
        <v>0.19562748650634817</v>
      </c>
      <c r="C73" s="27">
        <v>0.8043725134936518</v>
      </c>
      <c r="D73" s="27">
        <v>0.44229796122789011</v>
      </c>
      <c r="E73" s="27">
        <v>0.55770203877210989</v>
      </c>
      <c r="F73" s="26">
        <v>198003.95030049677</v>
      </c>
      <c r="G73" s="26">
        <v>76563.379922902444</v>
      </c>
    </row>
    <row r="74" spans="1:7" ht="15.75" x14ac:dyDescent="0.25">
      <c r="A74" s="1">
        <f t="shared" si="1"/>
        <v>355</v>
      </c>
      <c r="B74" s="27">
        <v>0.26007671612347139</v>
      </c>
      <c r="C74" s="27">
        <v>0.73992328387652884</v>
      </c>
      <c r="D74" s="27">
        <v>0.50997717215917748</v>
      </c>
      <c r="E74" s="27">
        <v>0.49002282784082257</v>
      </c>
      <c r="F74" s="26">
        <v>220167.03628519666</v>
      </c>
      <c r="G74" s="26">
        <v>71449.340895354893</v>
      </c>
    </row>
    <row r="75" spans="1:7" ht="15.75" x14ac:dyDescent="0.25">
      <c r="A75" s="1" t="s">
        <v>114</v>
      </c>
      <c r="B75" s="27">
        <v>0.31870339820505356</v>
      </c>
      <c r="C75" s="27">
        <v>0.68129660179494633</v>
      </c>
      <c r="D75" s="27">
        <v>0.56453821677992144</v>
      </c>
      <c r="E75" s="27">
        <v>0.4354617832200785</v>
      </c>
      <c r="F75" s="26">
        <v>241775.66076142955</v>
      </c>
      <c r="G75" s="26">
        <v>67294.016371857564</v>
      </c>
    </row>
    <row r="76" spans="1:7" ht="15.75" x14ac:dyDescent="0.25">
      <c r="A76" s="30">
        <v>365</v>
      </c>
      <c r="B76" s="27">
        <v>0.36907181871789013</v>
      </c>
      <c r="C76" s="27">
        <v>0.63092818128211003</v>
      </c>
      <c r="D76" s="27">
        <v>0.60751281362444531</v>
      </c>
      <c r="E76" s="27">
        <v>0.39248718637555469</v>
      </c>
      <c r="F76" s="26">
        <v>262026.52249169053</v>
      </c>
      <c r="G76" s="26">
        <v>63975.883549355676</v>
      </c>
    </row>
    <row r="77" spans="1:7" x14ac:dyDescent="0.25">
      <c r="A77" s="27">
        <f t="shared" ref="A77:A140" si="2">A76+5</f>
        <v>370</v>
      </c>
      <c r="B77" s="27">
        <v>0.41013682320946382</v>
      </c>
      <c r="C77" s="27">
        <v>0.58986317679053624</v>
      </c>
      <c r="D77" s="27">
        <v>0.6404192558078371</v>
      </c>
      <c r="E77" s="27">
        <v>0.35958074419216296</v>
      </c>
      <c r="F77" s="26">
        <v>280081.52362978522</v>
      </c>
      <c r="G77" s="26">
        <v>61394.013966067891</v>
      </c>
    </row>
    <row r="78" spans="1:7" x14ac:dyDescent="0.25">
      <c r="A78" s="27">
        <f t="shared" si="2"/>
        <v>375</v>
      </c>
      <c r="B78" s="27">
        <v>0.44167746176819844</v>
      </c>
      <c r="C78" s="27">
        <v>0.55832253823180156</v>
      </c>
      <c r="D78" s="27">
        <v>0.66458818960932364</v>
      </c>
      <c r="E78" s="27">
        <v>0.33541181039067625</v>
      </c>
      <c r="F78" s="26">
        <v>295127.68799237395</v>
      </c>
      <c r="G78" s="26">
        <v>59467.748686339917</v>
      </c>
    </row>
    <row r="79" spans="1:7" x14ac:dyDescent="0.25">
      <c r="A79" s="27">
        <f t="shared" si="2"/>
        <v>380</v>
      </c>
      <c r="B79" s="27">
        <v>0.4638684329366195</v>
      </c>
      <c r="C79" s="27">
        <v>0.53613156706338072</v>
      </c>
      <c r="D79" s="27">
        <v>0.68107887424043589</v>
      </c>
      <c r="E79" s="27">
        <v>0.31892112575956422</v>
      </c>
      <c r="F79" s="26">
        <v>306442.35011502623</v>
      </c>
      <c r="G79" s="26">
        <v>58135.844056245478</v>
      </c>
    </row>
    <row r="80" spans="1:7" x14ac:dyDescent="0.25">
      <c r="A80" s="27">
        <f t="shared" si="2"/>
        <v>385</v>
      </c>
      <c r="B80" s="27">
        <v>0.47699580274037767</v>
      </c>
      <c r="C80" s="27">
        <v>0.52300419725962244</v>
      </c>
      <c r="D80" s="27">
        <v>0.69064882736480315</v>
      </c>
      <c r="E80" s="27">
        <v>0.30935117263519685</v>
      </c>
      <c r="F80" s="26">
        <v>313456.00774031802</v>
      </c>
      <c r="G80" s="26">
        <v>57355.485062594409</v>
      </c>
    </row>
    <row r="81" spans="1:7" x14ac:dyDescent="0.25">
      <c r="A81" s="27">
        <f t="shared" si="2"/>
        <v>390</v>
      </c>
      <c r="B81" s="27">
        <v>0.48128775592934842</v>
      </c>
      <c r="C81" s="27">
        <v>0.51871224407065175</v>
      </c>
      <c r="D81" s="27">
        <v>0.69374905832681921</v>
      </c>
      <c r="E81" s="27">
        <v>0.3062509416731809</v>
      </c>
      <c r="F81" s="26">
        <v>315804.70870631625</v>
      </c>
      <c r="G81" s="26">
        <v>57101.427717796018</v>
      </c>
    </row>
    <row r="82" spans="1:7" x14ac:dyDescent="0.25">
      <c r="A82" s="27">
        <f t="shared" si="2"/>
        <v>395</v>
      </c>
      <c r="B82" s="27">
        <v>0.47682796993834942</v>
      </c>
      <c r="C82" s="27">
        <v>0.52317203006165058</v>
      </c>
      <c r="D82" s="27">
        <v>0.69052731295608394</v>
      </c>
      <c r="E82" s="27">
        <v>0.30947268704391617</v>
      </c>
      <c r="F82" s="26">
        <v>313364.73443988786</v>
      </c>
      <c r="G82" s="26">
        <v>57365.430093133655</v>
      </c>
    </row>
    <row r="83" spans="1:7" x14ac:dyDescent="0.25">
      <c r="A83" s="27">
        <f t="shared" si="2"/>
        <v>400</v>
      </c>
      <c r="B83" s="27">
        <v>0.46352958460763155</v>
      </c>
      <c r="C83" s="27">
        <v>0.53647041539236828</v>
      </c>
      <c r="D83" s="27">
        <v>0.68083007028746279</v>
      </c>
      <c r="E83" s="27">
        <v>0.31916992971253716</v>
      </c>
      <c r="F83" s="26">
        <v>306264.59282948839</v>
      </c>
      <c r="G83" s="26">
        <v>58156.056519210724</v>
      </c>
    </row>
    <row r="84" spans="1:7" x14ac:dyDescent="0.25">
      <c r="A84" s="27">
        <f t="shared" si="2"/>
        <v>405</v>
      </c>
      <c r="B84" s="27">
        <v>0.44116227362609212</v>
      </c>
      <c r="C84" s="27">
        <v>0.55883772637390794</v>
      </c>
      <c r="D84" s="27">
        <v>0.66420047698424012</v>
      </c>
      <c r="E84" s="27">
        <v>0.33579952301575988</v>
      </c>
      <c r="F84" s="26">
        <v>294872.56312599662</v>
      </c>
      <c r="G84" s="26">
        <v>59498.880944667522</v>
      </c>
    </row>
    <row r="85" spans="1:7" x14ac:dyDescent="0.25">
      <c r="A85" s="27">
        <f t="shared" si="2"/>
        <v>410</v>
      </c>
      <c r="B85" s="27">
        <v>0.40944020240058859</v>
      </c>
      <c r="C85" s="27">
        <v>0.59055979759941146</v>
      </c>
      <c r="D85" s="27">
        <v>0.63987514594691719</v>
      </c>
      <c r="E85" s="27">
        <v>0.36012485405308287</v>
      </c>
      <c r="F85" s="26">
        <v>279761.61762681854</v>
      </c>
      <c r="G85" s="26">
        <v>61437.062429125719</v>
      </c>
    </row>
    <row r="86" spans="1:7" x14ac:dyDescent="0.25">
      <c r="A86" s="27">
        <f t="shared" si="2"/>
        <v>415</v>
      </c>
      <c r="B86" s="27">
        <v>0.36819315478590581</v>
      </c>
      <c r="C86" s="27">
        <v>0.63180684521409403</v>
      </c>
      <c r="D86" s="27">
        <v>0.60678921775679717</v>
      </c>
      <c r="E86" s="27">
        <v>0.39321078224320277</v>
      </c>
      <c r="F86" s="26">
        <v>261656.76133323379</v>
      </c>
      <c r="G86" s="26">
        <v>64032.207003916235</v>
      </c>
    </row>
    <row r="87" spans="1:7" x14ac:dyDescent="0.25">
      <c r="A87" s="27">
        <f t="shared" si="2"/>
        <v>420</v>
      </c>
      <c r="B87" s="27">
        <v>0.31765334860826094</v>
      </c>
      <c r="C87" s="27">
        <v>0.68234665139173889</v>
      </c>
      <c r="D87" s="27">
        <v>0.56360744193832368</v>
      </c>
      <c r="E87" s="27">
        <v>0.43639255806167621</v>
      </c>
      <c r="F87" s="26">
        <v>241372.05790909572</v>
      </c>
      <c r="G87" s="26">
        <v>67365.354609073402</v>
      </c>
    </row>
    <row r="88" spans="1:7" x14ac:dyDescent="0.25">
      <c r="A88" s="27">
        <f t="shared" si="2"/>
        <v>425</v>
      </c>
      <c r="B88" s="27">
        <v>0.25888688219440653</v>
      </c>
      <c r="C88" s="27">
        <v>0.7411131178055933</v>
      </c>
      <c r="D88" s="27">
        <v>0.5088092788014057</v>
      </c>
      <c r="E88" s="27">
        <v>0.4911907211985943</v>
      </c>
      <c r="F88" s="26">
        <v>219745.47388237217</v>
      </c>
      <c r="G88" s="26">
        <v>71537.827419880457</v>
      </c>
    </row>
    <row r="89" spans="1:7" x14ac:dyDescent="0.25">
      <c r="A89" s="27">
        <f t="shared" si="2"/>
        <v>430</v>
      </c>
      <c r="B89" s="27">
        <v>0.19436216263129694</v>
      </c>
      <c r="C89" s="27">
        <v>0.80563783736870298</v>
      </c>
      <c r="D89" s="27">
        <v>0.44086524316541092</v>
      </c>
      <c r="E89" s="27">
        <v>0.55913475683458902</v>
      </c>
      <c r="F89" s="26">
        <v>197579.12592909473</v>
      </c>
      <c r="G89" s="26">
        <v>76671.539587739724</v>
      </c>
    </row>
    <row r="90" spans="1:7" x14ac:dyDescent="0.25">
      <c r="A90" s="27">
        <f t="shared" si="2"/>
        <v>435</v>
      </c>
      <c r="B90" s="27">
        <v>0.128551993740536</v>
      </c>
      <c r="C90" s="27">
        <v>0.87144800625946417</v>
      </c>
      <c r="D90" s="27">
        <v>0.35854148119922746</v>
      </c>
      <c r="E90" s="27">
        <v>0.64145851880077254</v>
      </c>
      <c r="F90" s="26">
        <v>175590.81957021667</v>
      </c>
      <c r="G90" s="26">
        <v>82908.198678702916</v>
      </c>
    </row>
    <row r="91" spans="1:7" x14ac:dyDescent="0.25">
      <c r="A91" s="27">
        <f t="shared" si="2"/>
        <v>440</v>
      </c>
      <c r="B91" s="27">
        <v>6.8300959580327017E-2</v>
      </c>
      <c r="C91" s="27">
        <v>0.93169904041967311</v>
      </c>
      <c r="D91" s="27">
        <v>0.26134452276703068</v>
      </c>
      <c r="E91" s="27">
        <v>0.73865547723296943</v>
      </c>
      <c r="F91" s="26">
        <v>154380.39171675176</v>
      </c>
      <c r="G91" s="26">
        <v>90406.64137407286</v>
      </c>
    </row>
    <row r="92" spans="1:7" x14ac:dyDescent="0.25">
      <c r="A92" s="27">
        <f t="shared" si="2"/>
        <v>445</v>
      </c>
      <c r="B92" s="27">
        <v>2.2515513088602019E-2</v>
      </c>
      <c r="C92" s="27">
        <v>0.97748448691139789</v>
      </c>
      <c r="D92" s="27">
        <v>0.15005170138522927</v>
      </c>
      <c r="E92" s="27">
        <v>0.84994829861477061</v>
      </c>
      <c r="F92" s="26">
        <v>134411.85169034419</v>
      </c>
      <c r="G92" s="26">
        <v>99337.38154577215</v>
      </c>
    </row>
    <row r="93" spans="1:7" x14ac:dyDescent="0.25">
      <c r="A93" s="27">
        <f t="shared" si="2"/>
        <v>450</v>
      </c>
      <c r="B93" s="27">
        <v>7.3808477791893095E-4</v>
      </c>
      <c r="C93" s="27">
        <v>0.99926191522208119</v>
      </c>
      <c r="D93" s="27">
        <v>2.7167715728764003E-2</v>
      </c>
      <c r="E93" s="27">
        <v>0.97283228427123603</v>
      </c>
      <c r="F93" s="26">
        <v>116010.12510369861</v>
      </c>
      <c r="G93" s="26">
        <v>109873.38608393782</v>
      </c>
    </row>
    <row r="94" spans="1:7" x14ac:dyDescent="0.25">
      <c r="A94" s="27">
        <f t="shared" si="2"/>
        <v>455</v>
      </c>
      <c r="B94" s="27">
        <v>1.0597263008670961E-2</v>
      </c>
      <c r="C94" s="27">
        <v>0.9894027369913293</v>
      </c>
      <c r="D94" s="27">
        <v>-0.10294300854682148</v>
      </c>
      <c r="E94" s="27">
        <v>1.1029430085468215</v>
      </c>
      <c r="F94" s="26">
        <v>99369.651432168161</v>
      </c>
      <c r="G94" s="26">
        <v>122176.25340760191</v>
      </c>
    </row>
    <row r="95" spans="1:7" x14ac:dyDescent="0.25">
      <c r="A95" s="27">
        <f t="shared" si="2"/>
        <v>460</v>
      </c>
      <c r="B95" s="27">
        <v>5.4976928129452145E-2</v>
      </c>
      <c r="C95" s="27">
        <v>0.94502307187054768</v>
      </c>
      <c r="D95" s="27">
        <v>-0.23447159343820767</v>
      </c>
      <c r="E95" s="27">
        <v>1.2344715934382078</v>
      </c>
      <c r="F95" s="26">
        <v>84571.285328099533</v>
      </c>
      <c r="G95" s="26">
        <v>136377.49881417269</v>
      </c>
    </row>
    <row r="96" spans="1:7" x14ac:dyDescent="0.25">
      <c r="A96" s="27">
        <f t="shared" si="2"/>
        <v>465</v>
      </c>
      <c r="B96" s="27">
        <v>0.13041840403385416</v>
      </c>
      <c r="C96" s="27">
        <v>0.8695815959661457</v>
      </c>
      <c r="D96" s="27">
        <v>-0.36113488343533662</v>
      </c>
      <c r="E96" s="27">
        <v>1.3611348834353365</v>
      </c>
      <c r="F96" s="26">
        <v>71603.848696892543</v>
      </c>
      <c r="G96" s="26">
        <v>152555.67055162817</v>
      </c>
    </row>
    <row r="97" spans="1:7" x14ac:dyDescent="0.25">
      <c r="A97" s="27">
        <f t="shared" si="2"/>
        <v>470</v>
      </c>
      <c r="B97" s="27">
        <v>0.22790221626640506</v>
      </c>
      <c r="C97" s="27">
        <v>0.77209778373359517</v>
      </c>
      <c r="D97" s="27">
        <v>-0.47739105172427043</v>
      </c>
      <c r="E97" s="27">
        <v>1.4773910517242705</v>
      </c>
      <c r="F97" s="26">
        <v>60387.105881664713</v>
      </c>
      <c r="G97" s="26">
        <v>170711.52371854775</v>
      </c>
    </row>
    <row r="98" spans="1:7" x14ac:dyDescent="0.25">
      <c r="A98" s="27">
        <f t="shared" si="2"/>
        <v>475</v>
      </c>
      <c r="B98" s="27">
        <v>0.33572310962947194</v>
      </c>
      <c r="C98" s="27">
        <v>0.66427689037052828</v>
      </c>
      <c r="D98" s="27">
        <v>-0.57941617998591644</v>
      </c>
      <c r="E98" s="27">
        <v>1.5794161799859165</v>
      </c>
      <c r="F98" s="26">
        <v>50793.671469934736</v>
      </c>
      <c r="G98" s="26">
        <v>190745.20403047735</v>
      </c>
    </row>
    <row r="99" spans="1:7" x14ac:dyDescent="0.25">
      <c r="A99" s="27">
        <f t="shared" si="2"/>
        <v>480</v>
      </c>
      <c r="B99" s="27">
        <v>0.44287740704812084</v>
      </c>
      <c r="C99" s="27">
        <v>0.55712259295187938</v>
      </c>
      <c r="D99" s="27">
        <v>-0.66549035083021368</v>
      </c>
      <c r="E99" s="27">
        <v>1.6654903508302137</v>
      </c>
      <c r="F99" s="26">
        <v>42668.203203302997</v>
      </c>
      <c r="G99" s="26">
        <v>212440.74991180416</v>
      </c>
    </row>
    <row r="100" spans="1:7" x14ac:dyDescent="0.25">
      <c r="A100" s="27">
        <f t="shared" si="2"/>
        <v>485</v>
      </c>
      <c r="B100" s="27">
        <v>0.54136426946554717</v>
      </c>
      <c r="C100" s="27">
        <v>0.45863573053445256</v>
      </c>
      <c r="D100" s="27">
        <v>-0.73577460506975045</v>
      </c>
      <c r="E100" s="27">
        <v>1.7357746050697505</v>
      </c>
      <c r="F100" s="26">
        <v>35843.022586427091</v>
      </c>
      <c r="G100" s="26">
        <v>235463.39439055556</v>
      </c>
    </row>
    <row r="101" spans="1:7" x14ac:dyDescent="0.25">
      <c r="A101" s="27">
        <f t="shared" si="2"/>
        <v>490</v>
      </c>
      <c r="B101" s="27">
        <v>0.62683173255398217</v>
      </c>
      <c r="C101" s="27">
        <v>0.37316826744601789</v>
      </c>
      <c r="D101" s="27">
        <v>-0.79172705685354861</v>
      </c>
      <c r="E101" s="27">
        <v>1.7917270568535488</v>
      </c>
      <c r="F101" s="26">
        <v>30149.946088321096</v>
      </c>
      <c r="G101" s="26">
        <v>259373.46134843407</v>
      </c>
    </row>
    <row r="102" spans="1:7" x14ac:dyDescent="0.25">
      <c r="A102" s="27">
        <f t="shared" si="2"/>
        <v>495</v>
      </c>
      <c r="B102" s="27">
        <v>0.69799248923431445</v>
      </c>
      <c r="C102" s="27">
        <v>0.30200751076568544</v>
      </c>
      <c r="D102" s="27">
        <v>-0.83545944798913752</v>
      </c>
      <c r="E102" s="27">
        <v>1.8354594479891375</v>
      </c>
      <c r="F102" s="26">
        <v>25428.561380416482</v>
      </c>
      <c r="G102" s="26">
        <v>283657.08431181114</v>
      </c>
    </row>
    <row r="103" spans="1:7" x14ac:dyDescent="0.25">
      <c r="A103" s="27">
        <f t="shared" si="2"/>
        <v>500</v>
      </c>
      <c r="B103" s="27">
        <v>0.75555964851527557</v>
      </c>
      <c r="C103" s="27">
        <v>0.24444035148472443</v>
      </c>
      <c r="D103" s="27">
        <v>-0.86922934172476918</v>
      </c>
      <c r="E103" s="27">
        <v>1.8692293417247692</v>
      </c>
      <c r="F103" s="26">
        <v>21531.450842241757</v>
      </c>
      <c r="G103" s="26">
        <v>307769.49672850262</v>
      </c>
    </row>
    <row r="104" spans="1:7" x14ac:dyDescent="0.25">
      <c r="A104" s="27">
        <f t="shared" si="2"/>
        <v>505</v>
      </c>
      <c r="B104" s="27">
        <v>0.80125334785126534</v>
      </c>
      <c r="C104" s="27">
        <v>0.19874665214873485</v>
      </c>
      <c r="D104" s="27">
        <v>-0.89512755954180367</v>
      </c>
      <c r="E104" s="27">
        <v>1.8951275595418038</v>
      </c>
      <c r="F104" s="26">
        <v>18326.980023427364</v>
      </c>
      <c r="G104" s="26">
        <v>331182.95687429846</v>
      </c>
    </row>
    <row r="105" spans="1:7" x14ac:dyDescent="0.25">
      <c r="A105" s="27">
        <f t="shared" si="2"/>
        <v>510</v>
      </c>
      <c r="B105" s="27">
        <v>0.83710369884715563</v>
      </c>
      <c r="C105" s="27">
        <v>0.16289630115284409</v>
      </c>
      <c r="D105" s="27">
        <v>-0.91493371281593716</v>
      </c>
      <c r="E105" s="27">
        <v>1.9149337128159372</v>
      </c>
      <c r="F105" s="26">
        <v>15700.274095322917</v>
      </c>
      <c r="G105" s="26">
        <v>353430.07389673975</v>
      </c>
    </row>
    <row r="106" spans="1:7" x14ac:dyDescent="0.25">
      <c r="A106" s="27">
        <f t="shared" si="2"/>
        <v>515</v>
      </c>
      <c r="B106" s="27">
        <v>0.86505481574279863</v>
      </c>
      <c r="C106" s="27">
        <v>0.13494518425720134</v>
      </c>
      <c r="D106" s="27">
        <v>-0.93008323054595421</v>
      </c>
      <c r="E106" s="27">
        <v>1.9300832305459543</v>
      </c>
      <c r="F106" s="26">
        <v>13552.94221689756</v>
      </c>
      <c r="G106" s="26">
        <v>374134.94218415476</v>
      </c>
    </row>
    <row r="107" spans="1:7" x14ac:dyDescent="0.25">
      <c r="A107" s="27">
        <f t="shared" si="2"/>
        <v>520</v>
      </c>
      <c r="B107" s="27">
        <v>0.88678762528207045</v>
      </c>
      <c r="C107" s="27">
        <v>0.11321237471792958</v>
      </c>
      <c r="D107" s="27">
        <v>-0.94169401892656746</v>
      </c>
      <c r="E107" s="27">
        <v>1.9416940189265675</v>
      </c>
      <c r="F107" s="26">
        <v>11802.012776887341</v>
      </c>
      <c r="G107" s="26">
        <v>393028.24853107298</v>
      </c>
    </row>
    <row r="108" spans="1:7" x14ac:dyDescent="0.25">
      <c r="A108" s="27">
        <f t="shared" si="2"/>
        <v>525</v>
      </c>
      <c r="B108" s="27">
        <v>0.90367288306915527</v>
      </c>
      <c r="C108" s="27">
        <v>9.6327116930844933E-2</v>
      </c>
      <c r="D108" s="27">
        <v>-0.95061710644673092</v>
      </c>
      <c r="E108" s="27">
        <v>1.9506171064467308</v>
      </c>
      <c r="F108" s="26">
        <v>10378.436722378561</v>
      </c>
      <c r="G108" s="26">
        <v>409946.73969456687</v>
      </c>
    </row>
    <row r="109" spans="1:7" x14ac:dyDescent="0.25">
      <c r="A109" s="27">
        <f t="shared" si="2"/>
        <v>530</v>
      </c>
      <c r="B109" s="27">
        <v>0.91678913583459531</v>
      </c>
      <c r="C109" s="27">
        <v>8.3210864165404491E-2</v>
      </c>
      <c r="D109" s="27">
        <v>-0.95749106305729836</v>
      </c>
      <c r="E109" s="27">
        <v>1.9574910630572984</v>
      </c>
      <c r="F109" s="26">
        <v>9225.4174264524299</v>
      </c>
      <c r="G109" s="26">
        <v>424820.60159714788</v>
      </c>
    </row>
    <row r="110" spans="1:7" x14ac:dyDescent="0.25">
      <c r="A110" s="27">
        <f t="shared" si="2"/>
        <v>535</v>
      </c>
      <c r="B110" s="27">
        <v>0.92696601555397018</v>
      </c>
      <c r="C110" s="27">
        <v>7.3033984446029612E-2</v>
      </c>
      <c r="D110" s="27">
        <v>-0.96279074338818316</v>
      </c>
      <c r="E110" s="27">
        <v>1.962790743388183</v>
      </c>
      <c r="F110" s="26">
        <v>8296.7419847647998</v>
      </c>
      <c r="G110" s="26">
        <v>437653.68757205363</v>
      </c>
    </row>
    <row r="111" spans="1:7" x14ac:dyDescent="0.25">
      <c r="A111" s="27">
        <f t="shared" si="2"/>
        <v>540</v>
      </c>
      <c r="B111" s="27">
        <v>0.93483211055270565</v>
      </c>
      <c r="C111" s="27">
        <v>6.5167889447294583E-2</v>
      </c>
      <c r="D111" s="27">
        <v>-0.9668671628267792</v>
      </c>
      <c r="E111" s="27">
        <v>1.9668671628267791</v>
      </c>
      <c r="F111" s="26">
        <v>7555.2232505780576</v>
      </c>
      <c r="G111" s="26">
        <v>448501.29923065729</v>
      </c>
    </row>
    <row r="112" spans="1:7" x14ac:dyDescent="0.25">
      <c r="A112" s="27">
        <f t="shared" si="2"/>
        <v>545</v>
      </c>
      <c r="B112" s="27">
        <v>0.94085815552806296</v>
      </c>
      <c r="C112" s="27">
        <v>5.914184447193694E-2</v>
      </c>
      <c r="D112" s="27">
        <v>-0.96997843044475118</v>
      </c>
      <c r="E112" s="27">
        <v>1.9699784304447512</v>
      </c>
      <c r="F112" s="26">
        <v>6971.3137290006762</v>
      </c>
      <c r="G112" s="26">
        <v>457449.02353360277</v>
      </c>
    </row>
    <row r="113" spans="1:7" x14ac:dyDescent="0.25">
      <c r="A113" s="27">
        <f t="shared" si="2"/>
        <v>550</v>
      </c>
      <c r="B113" s="27">
        <v>0.94539243045375021</v>
      </c>
      <c r="C113" s="27">
        <v>5.460756954624954E-2</v>
      </c>
      <c r="D113" s="27">
        <v>-0.97231292825599636</v>
      </c>
      <c r="E113" s="27">
        <v>1.9723129282559964</v>
      </c>
      <c r="F113" s="26">
        <v>6521.9192966942628</v>
      </c>
      <c r="G113" s="26">
        <v>464594.6622613949</v>
      </c>
    </row>
    <row r="114" spans="1:7" x14ac:dyDescent="0.25">
      <c r="A114" s="27">
        <f t="shared" si="2"/>
        <v>555</v>
      </c>
      <c r="B114" s="27">
        <v>0.94868815098231263</v>
      </c>
      <c r="C114" s="27">
        <v>5.1311849017687407E-2</v>
      </c>
      <c r="D114" s="27">
        <v>-0.97400623765061822</v>
      </c>
      <c r="E114" s="27">
        <v>1.9740062376506182</v>
      </c>
      <c r="F114" s="26">
        <v>6189.4195899905781</v>
      </c>
      <c r="G114" s="26">
        <v>470034.03023606236</v>
      </c>
    </row>
    <row r="115" spans="1:7" x14ac:dyDescent="0.25">
      <c r="A115" s="27">
        <f t="shared" si="2"/>
        <v>560</v>
      </c>
      <c r="B115" s="27">
        <v>0.95092375981130672</v>
      </c>
      <c r="C115" s="27">
        <v>4.9076240188693464E-2</v>
      </c>
      <c r="D115" s="27">
        <v>-0.97515319812391876</v>
      </c>
      <c r="E115" s="27">
        <v>1.9751531981239188</v>
      </c>
      <c r="F115" s="26">
        <v>5960.8898473822828</v>
      </c>
      <c r="G115" s="26">
        <v>473850.54641802324</v>
      </c>
    </row>
    <row r="116" spans="1:7" x14ac:dyDescent="0.25">
      <c r="A116" s="27">
        <f t="shared" si="2"/>
        <v>565</v>
      </c>
      <c r="B116" s="27">
        <v>0.95221728699654395</v>
      </c>
      <c r="C116" s="27">
        <v>4.7782713003455969E-2</v>
      </c>
      <c r="D116" s="27">
        <v>-0.97581621578888711</v>
      </c>
      <c r="E116" s="27">
        <v>1.975816215788887</v>
      </c>
      <c r="F116" s="26">
        <v>5827.5134261325957</v>
      </c>
      <c r="G116" s="26">
        <v>476108.09890494042</v>
      </c>
    </row>
    <row r="117" spans="1:7" x14ac:dyDescent="0.25">
      <c r="A117" s="27">
        <f t="shared" si="2"/>
        <v>570</v>
      </c>
      <c r="B117" s="27">
        <v>0.95263582276259295</v>
      </c>
      <c r="C117" s="27">
        <v>4.7364177237406851E-2</v>
      </c>
      <c r="D117" s="27">
        <v>-0.97603064642591675</v>
      </c>
      <c r="E117" s="27">
        <v>1.9760306464259167</v>
      </c>
      <c r="F117" s="26">
        <v>5784.1730767458057</v>
      </c>
      <c r="G117" s="26">
        <v>476846.53774892644</v>
      </c>
    </row>
    <row r="118" spans="1:7" x14ac:dyDescent="0.25">
      <c r="A118" s="27">
        <f t="shared" si="2"/>
        <v>575</v>
      </c>
      <c r="B118" s="27">
        <v>0.95220087763144212</v>
      </c>
      <c r="C118" s="27">
        <v>4.7799122368557725E-2</v>
      </c>
      <c r="D118" s="27">
        <v>-0.97580780773236386</v>
      </c>
      <c r="E118" s="27">
        <v>1.975807807732364</v>
      </c>
      <c r="F118" s="26">
        <v>5829.2107976784228</v>
      </c>
      <c r="G118" s="26">
        <v>476079.22752741422</v>
      </c>
    </row>
    <row r="119" spans="1:7" x14ac:dyDescent="0.25">
      <c r="A119" s="27">
        <f t="shared" si="2"/>
        <v>580</v>
      </c>
      <c r="B119" s="27">
        <v>0.95089009573294547</v>
      </c>
      <c r="C119" s="27">
        <v>4.9109904267054652E-2</v>
      </c>
      <c r="D119" s="27">
        <v>-0.97513593705336565</v>
      </c>
      <c r="E119" s="27">
        <v>1.9751359370533657</v>
      </c>
      <c r="F119" s="26">
        <v>5964.349573460544</v>
      </c>
      <c r="G119" s="26">
        <v>473792.28442974231</v>
      </c>
    </row>
    <row r="120" spans="1:7" x14ac:dyDescent="0.25">
      <c r="A120" s="27">
        <f t="shared" si="2"/>
        <v>585</v>
      </c>
      <c r="B120" s="27">
        <v>0.94863547410519355</v>
      </c>
      <c r="C120" s="27">
        <v>5.1364525894806279E-2</v>
      </c>
      <c r="D120" s="27">
        <v>-0.97397919593038207</v>
      </c>
      <c r="E120" s="27">
        <v>1.9739791959303821</v>
      </c>
      <c r="F120" s="26">
        <v>6194.7746994287345</v>
      </c>
      <c r="G120" s="26">
        <v>469945.36938334478</v>
      </c>
    </row>
    <row r="121" spans="1:7" x14ac:dyDescent="0.25">
      <c r="A121" s="27">
        <f t="shared" si="2"/>
        <v>590</v>
      </c>
      <c r="B121" s="27">
        <v>0.94531792920397706</v>
      </c>
      <c r="C121" s="27">
        <v>5.4682070796022893E-2</v>
      </c>
      <c r="D121" s="27">
        <v>-0.97227461614709298</v>
      </c>
      <c r="E121" s="27">
        <v>1.972274616147093</v>
      </c>
      <c r="F121" s="26">
        <v>6529.3770786143659</v>
      </c>
      <c r="G121" s="26">
        <v>464474.17066341412</v>
      </c>
    </row>
    <row r="122" spans="1:7" x14ac:dyDescent="0.25">
      <c r="A122" s="27">
        <f t="shared" si="2"/>
        <v>595</v>
      </c>
      <c r="B122" s="27">
        <v>0.94075773875459789</v>
      </c>
      <c r="C122" s="27">
        <v>5.9242261245401842E-2</v>
      </c>
      <c r="D122" s="27">
        <v>-0.96992666668908434</v>
      </c>
      <c r="E122" s="27">
        <v>1.9699266666890842</v>
      </c>
      <c r="F122" s="26">
        <v>6981.1652651401046</v>
      </c>
      <c r="G122" s="26">
        <v>457294.95557352796</v>
      </c>
    </row>
    <row r="123" spans="1:7" x14ac:dyDescent="0.25">
      <c r="A123" s="27">
        <f t="shared" si="2"/>
        <v>600</v>
      </c>
      <c r="B123" s="27">
        <v>0.93470007840901992</v>
      </c>
      <c r="C123" s="27">
        <v>6.5299921590980123E-2</v>
      </c>
      <c r="D123" s="27">
        <v>-0.96679888208924813</v>
      </c>
      <c r="E123" s="27">
        <v>1.9667988820892481</v>
      </c>
      <c r="F123" s="26">
        <v>7567.856484434401</v>
      </c>
      <c r="G123" s="26">
        <v>448311.76207404904</v>
      </c>
    </row>
    <row r="124" spans="1:7" x14ac:dyDescent="0.25">
      <c r="A124" s="27">
        <f t="shared" si="2"/>
        <v>605</v>
      </c>
      <c r="B124" s="27">
        <v>0.92679460542730807</v>
      </c>
      <c r="C124" s="27">
        <v>7.3205394572691831E-2</v>
      </c>
      <c r="D124" s="27">
        <v>-0.96270172194055414</v>
      </c>
      <c r="E124" s="27">
        <v>1.9627017219405543</v>
      </c>
      <c r="F124" s="26">
        <v>8312.6585559911218</v>
      </c>
      <c r="G124" s="26">
        <v>437426.87626877765</v>
      </c>
    </row>
    <row r="125" spans="1:7" x14ac:dyDescent="0.25">
      <c r="A125" s="27">
        <f t="shared" si="2"/>
        <v>610</v>
      </c>
      <c r="B125" s="27">
        <v>0.91656792168426204</v>
      </c>
      <c r="C125" s="27">
        <v>8.3432078315737651E-2</v>
      </c>
      <c r="D125" s="27">
        <v>-0.95737553848229384</v>
      </c>
      <c r="E125" s="27">
        <v>1.957375538482294</v>
      </c>
      <c r="F125" s="26">
        <v>9245.2534396986994</v>
      </c>
      <c r="G125" s="26">
        <v>424555.10956820741</v>
      </c>
    </row>
    <row r="126" spans="1:7" x14ac:dyDescent="0.25">
      <c r="A126" s="27">
        <f t="shared" si="2"/>
        <v>615</v>
      </c>
      <c r="B126" s="27">
        <v>0.90338801786525214</v>
      </c>
      <c r="C126" s="27">
        <v>9.6611982134747615E-2</v>
      </c>
      <c r="D126" s="27">
        <v>-0.95046726291085493</v>
      </c>
      <c r="E126" s="27">
        <v>1.9504672629108548</v>
      </c>
      <c r="F126" s="26">
        <v>10402.987457315005</v>
      </c>
      <c r="G126" s="26">
        <v>409641.93913709273</v>
      </c>
    </row>
    <row r="127" spans="1:7" x14ac:dyDescent="0.25">
      <c r="A127" s="27">
        <f t="shared" si="2"/>
        <v>620</v>
      </c>
      <c r="B127" s="27">
        <v>0.88642095132210208</v>
      </c>
      <c r="C127" s="27">
        <v>0.11357904867789806</v>
      </c>
      <c r="D127" s="27">
        <v>-0.94149931031419354</v>
      </c>
      <c r="E127" s="27">
        <v>1.9414993103141935</v>
      </c>
      <c r="F127" s="26">
        <v>11832.261035845102</v>
      </c>
      <c r="G127" s="26">
        <v>392684.71472609532</v>
      </c>
    </row>
    <row r="128" spans="1:7" x14ac:dyDescent="0.25">
      <c r="A128" s="27">
        <f t="shared" si="2"/>
        <v>625</v>
      </c>
      <c r="B128" s="27">
        <v>0.86458294892924947</v>
      </c>
      <c r="C128" s="27">
        <v>0.13541705107075067</v>
      </c>
      <c r="D128" s="27">
        <v>-0.92982952681082864</v>
      </c>
      <c r="E128" s="27">
        <v>1.9298295268108288</v>
      </c>
      <c r="F128" s="26">
        <v>13590.089494614478</v>
      </c>
      <c r="G128" s="26">
        <v>373754.86849012575</v>
      </c>
    </row>
    <row r="129" spans="1:7" x14ac:dyDescent="0.25">
      <c r="A129" s="27">
        <f t="shared" si="2"/>
        <v>630</v>
      </c>
      <c r="B129" s="27">
        <v>0.83649735552889859</v>
      </c>
      <c r="C129" s="27">
        <v>0.1635026444711016</v>
      </c>
      <c r="D129" s="27">
        <v>-0.91460229363855117</v>
      </c>
      <c r="E129" s="27">
        <v>1.9146022936385512</v>
      </c>
      <c r="F129" s="26">
        <v>15745.77298296861</v>
      </c>
      <c r="G129" s="26">
        <v>353017.59675729228</v>
      </c>
    </row>
    <row r="130" spans="1:7" x14ac:dyDescent="0.25">
      <c r="A130" s="27">
        <f t="shared" si="2"/>
        <v>635</v>
      </c>
      <c r="B130" s="27">
        <v>0.80047747003167613</v>
      </c>
      <c r="C130" s="27">
        <v>0.19952252996832379</v>
      </c>
      <c r="D130" s="27">
        <v>-0.89469406504775484</v>
      </c>
      <c r="E130" s="27">
        <v>1.8946940650477548</v>
      </c>
      <c r="F130" s="26">
        <v>18382.565172381117</v>
      </c>
      <c r="G130" s="26">
        <v>330744.2942153138</v>
      </c>
    </row>
    <row r="131" spans="1:7" x14ac:dyDescent="0.25">
      <c r="A131" s="27">
        <f t="shared" si="2"/>
        <v>640</v>
      </c>
      <c r="B131" s="27">
        <v>0.75457532090846513</v>
      </c>
      <c r="C131" s="27">
        <v>0.24542467909153493</v>
      </c>
      <c r="D131" s="27">
        <v>-0.86866295011843642</v>
      </c>
      <c r="E131" s="27">
        <v>1.8686629501184364</v>
      </c>
      <c r="F131" s="26">
        <v>21599.164379753125</v>
      </c>
      <c r="G131" s="26">
        <v>307312.81284572429</v>
      </c>
    </row>
    <row r="132" spans="1:7" x14ac:dyDescent="0.25">
      <c r="A132" s="27">
        <f t="shared" si="2"/>
        <v>645</v>
      </c>
      <c r="B132" s="27">
        <v>0.69676216138541769</v>
      </c>
      <c r="C132" s="27">
        <v>0.30323783861458214</v>
      </c>
      <c r="D132" s="27">
        <v>-0.83472280511881169</v>
      </c>
      <c r="E132" s="27">
        <v>1.8347228051188118</v>
      </c>
      <c r="F132" s="26">
        <v>25510.766905018347</v>
      </c>
      <c r="G132" s="26">
        <v>283192.03898852447</v>
      </c>
    </row>
    <row r="133" spans="1:7" x14ac:dyDescent="0.25">
      <c r="A133" s="27">
        <f t="shared" si="2"/>
        <v>650</v>
      </c>
      <c r="B133" s="27">
        <v>0.62532954296159615</v>
      </c>
      <c r="C133" s="27">
        <v>0.37467045703840385</v>
      </c>
      <c r="D133" s="27">
        <v>-0.79077780884493476</v>
      </c>
      <c r="E133" s="27">
        <v>1.7907778088449346</v>
      </c>
      <c r="F133" s="26">
        <v>30249.323376884229</v>
      </c>
      <c r="G133" s="26">
        <v>258910.47568539504</v>
      </c>
    </row>
    <row r="134" spans="1:7" x14ac:dyDescent="0.25">
      <c r="A134" s="27">
        <f t="shared" si="2"/>
        <v>655</v>
      </c>
      <c r="B134" s="27">
        <v>0.53959255650795357</v>
      </c>
      <c r="C134" s="27">
        <v>0.46040744349204665</v>
      </c>
      <c r="D134" s="27">
        <v>-0.73456964033912642</v>
      </c>
      <c r="E134" s="27">
        <v>1.7345696403391264</v>
      </c>
      <c r="F134" s="26">
        <v>35962.533141355045</v>
      </c>
      <c r="G134" s="26">
        <v>235012.74781220633</v>
      </c>
    </row>
    <row r="135" spans="1:7" x14ac:dyDescent="0.25">
      <c r="A135" s="27">
        <f t="shared" si="2"/>
        <v>660</v>
      </c>
      <c r="B135" s="27">
        <v>0.44088763462480224</v>
      </c>
      <c r="C135" s="27">
        <v>0.55911236537519793</v>
      </c>
      <c r="D135" s="27">
        <v>-0.66399370074180841</v>
      </c>
      <c r="E135" s="27">
        <v>1.6639937007418084</v>
      </c>
      <c r="F135" s="26">
        <v>42811.015146455073</v>
      </c>
      <c r="G135" s="26">
        <v>212011.67860047685</v>
      </c>
    </row>
    <row r="136" spans="1:7" x14ac:dyDescent="0.25">
      <c r="A136" s="27">
        <f t="shared" si="2"/>
        <v>665</v>
      </c>
      <c r="B136" s="27">
        <v>0.33363383797956958</v>
      </c>
      <c r="C136" s="27">
        <v>0.66636616202043053</v>
      </c>
      <c r="D136" s="27">
        <v>-0.57761045522009868</v>
      </c>
      <c r="E136" s="27">
        <v>1.5776104552200987</v>
      </c>
      <c r="F136" s="26">
        <v>50963.031625026619</v>
      </c>
      <c r="G136" s="26">
        <v>190345.17429461761</v>
      </c>
    </row>
    <row r="137" spans="1:7" x14ac:dyDescent="0.25">
      <c r="A137" s="27">
        <f t="shared" si="2"/>
        <v>670</v>
      </c>
      <c r="B137" s="27">
        <v>0.22590061482527682</v>
      </c>
      <c r="C137" s="27">
        <v>0.77409938517472321</v>
      </c>
      <c r="D137" s="27">
        <v>-0.4752900323226617</v>
      </c>
      <c r="E137" s="27">
        <v>1.4752900323226616</v>
      </c>
      <c r="F137" s="26">
        <v>60586.147924032441</v>
      </c>
      <c r="G137" s="26">
        <v>170345.80174797718</v>
      </c>
    </row>
    <row r="138" spans="1:7" x14ac:dyDescent="0.25">
      <c r="A138" s="27">
        <f t="shared" si="2"/>
        <v>675</v>
      </c>
      <c r="B138" s="27">
        <v>0.12873183858569034</v>
      </c>
      <c r="C138" s="27">
        <v>0.87126816141430974</v>
      </c>
      <c r="D138" s="27">
        <v>-0.35879219415378916</v>
      </c>
      <c r="E138" s="27">
        <v>1.3587921941537893</v>
      </c>
      <c r="F138" s="26">
        <v>71835.3298199329</v>
      </c>
      <c r="G138" s="26">
        <v>152227.22576649144</v>
      </c>
    </row>
    <row r="139" spans="1:7" x14ac:dyDescent="0.25">
      <c r="A139" s="27">
        <f t="shared" si="2"/>
        <v>680</v>
      </c>
      <c r="B139" s="27">
        <v>5.3814494701314879E-2</v>
      </c>
      <c r="C139" s="27">
        <v>0.94618550529868495</v>
      </c>
      <c r="D139" s="27">
        <v>-0.23197951353797361</v>
      </c>
      <c r="E139" s="27">
        <v>1.2319795135379736</v>
      </c>
      <c r="F139" s="26">
        <v>84837.250726502432</v>
      </c>
      <c r="G139" s="26">
        <v>136087.19652962446</v>
      </c>
    </row>
    <row r="140" spans="1:7" x14ac:dyDescent="0.25">
      <c r="A140" s="27">
        <f t="shared" si="2"/>
        <v>685</v>
      </c>
      <c r="B140" s="27">
        <v>1.0083911186257104E-2</v>
      </c>
      <c r="C140" s="27">
        <v>0.98991608881374304</v>
      </c>
      <c r="D140" s="27">
        <v>-0.10041867946879755</v>
      </c>
      <c r="E140" s="27">
        <v>1.1004186794687976</v>
      </c>
      <c r="F140" s="26">
        <v>99671.036432276131</v>
      </c>
      <c r="G140" s="26">
        <v>121923.24116659713</v>
      </c>
    </row>
    <row r="141" spans="1:7" x14ac:dyDescent="0.25">
      <c r="A141" s="27">
        <f t="shared" ref="A141:A147" si="3">A140+5</f>
        <v>690</v>
      </c>
      <c r="B141" s="27">
        <v>8.7644754051832219E-4</v>
      </c>
      <c r="C141" s="27">
        <v>0.9991235524594817</v>
      </c>
      <c r="D141" s="27">
        <v>2.9604856704911142E-2</v>
      </c>
      <c r="E141" s="27">
        <v>0.9703951432950888</v>
      </c>
      <c r="F141" s="26">
        <v>116346.31870234583</v>
      </c>
      <c r="G141" s="26">
        <v>109655.56531108817</v>
      </c>
    </row>
    <row r="142" spans="1:7" x14ac:dyDescent="0.25">
      <c r="A142" s="27">
        <f t="shared" si="3"/>
        <v>695</v>
      </c>
      <c r="B142" s="27">
        <v>2.3195971548275632E-2</v>
      </c>
      <c r="C142" s="27">
        <v>0.97680402845172432</v>
      </c>
      <c r="D142" s="27">
        <v>0.15230223750252533</v>
      </c>
      <c r="E142" s="27">
        <v>0.84769776249747464</v>
      </c>
      <c r="F142" s="26">
        <v>134780.26131707156</v>
      </c>
      <c r="G142" s="26">
        <v>99151.873726233316</v>
      </c>
    </row>
    <row r="143" spans="1:7" x14ac:dyDescent="0.25">
      <c r="A143" s="27">
        <f t="shared" si="3"/>
        <v>700</v>
      </c>
      <c r="B143" s="27">
        <v>6.9349376270419469E-2</v>
      </c>
      <c r="C143" s="27">
        <v>0.93065062372958074</v>
      </c>
      <c r="D143" s="27">
        <v>0.26334269739337651</v>
      </c>
      <c r="E143" s="27">
        <v>0.73665730260662354</v>
      </c>
      <c r="F143" s="26">
        <v>154776.06473922086</v>
      </c>
      <c r="G143" s="26">
        <v>90250.189908178392</v>
      </c>
    </row>
    <row r="144" spans="1:7" x14ac:dyDescent="0.25">
      <c r="A144" s="27">
        <f t="shared" si="3"/>
        <v>705</v>
      </c>
      <c r="B144" s="27">
        <v>0.12978533148306887</v>
      </c>
      <c r="C144" s="27">
        <v>0.87021466851693119</v>
      </c>
      <c r="D144" s="27">
        <v>0.36025731287937635</v>
      </c>
      <c r="E144" s="27">
        <v>0.63974268712062365</v>
      </c>
      <c r="F144" s="26">
        <v>176006.18883861977</v>
      </c>
      <c r="G144" s="26">
        <v>82777.479768979159</v>
      </c>
    </row>
    <row r="145" spans="1:7" x14ac:dyDescent="0.25">
      <c r="A145" s="27">
        <f t="shared" si="3"/>
        <v>710</v>
      </c>
      <c r="B145" s="27">
        <v>0.19562748650634817</v>
      </c>
      <c r="C145" s="27">
        <v>0.8043725134936518</v>
      </c>
      <c r="D145" s="27">
        <v>0.44229796122789011</v>
      </c>
      <c r="E145" s="27">
        <v>0.55770203877210989</v>
      </c>
      <c r="F145" s="26">
        <v>198003.95030049677</v>
      </c>
      <c r="G145" s="26">
        <v>76563.379922902444</v>
      </c>
    </row>
    <row r="146" spans="1:7" x14ac:dyDescent="0.25">
      <c r="A146" s="27">
        <f t="shared" si="3"/>
        <v>715</v>
      </c>
      <c r="B146" s="27">
        <v>0.26007671612347139</v>
      </c>
      <c r="C146" s="27">
        <v>0.73992328387652884</v>
      </c>
      <c r="D146" s="27">
        <v>0.50997717215917748</v>
      </c>
      <c r="E146" s="27">
        <v>0.49002282784082257</v>
      </c>
      <c r="F146" s="26">
        <v>220167.03628519666</v>
      </c>
      <c r="G146" s="26">
        <v>71449.340895354893</v>
      </c>
    </row>
    <row r="147" spans="1:7" x14ac:dyDescent="0.25">
      <c r="A147" s="27">
        <f t="shared" si="3"/>
        <v>720</v>
      </c>
      <c r="B147" s="27">
        <v>0.31870339820505356</v>
      </c>
      <c r="C147" s="27">
        <v>0.68129660179494633</v>
      </c>
      <c r="D147" s="27">
        <v>0.56453821677992144</v>
      </c>
      <c r="E147" s="27">
        <v>0.4354617832200785</v>
      </c>
      <c r="F147" s="26">
        <v>241775.66076142955</v>
      </c>
      <c r="G147" s="26">
        <v>67294.016371857564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B58" sqref="B5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EQUATIONS</vt:lpstr>
      <vt:lpstr>DIAPASON COEFFICIENTS</vt:lpstr>
      <vt:lpstr>DIAPASON GRAPHS</vt:lpstr>
      <vt:lpstr>VIOLIN COEFFICIENTS</vt:lpstr>
      <vt:lpstr>VIOLIN GRAPHS</vt:lpstr>
      <vt:lpstr>STOPPED FLUTE COEFFICIENTS</vt:lpstr>
      <vt:lpstr>STOPPED FLUTE GRAPHS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D J H</cp:lastModifiedBy>
  <cp:lastPrinted>2019-05-13T13:11:41Z</cp:lastPrinted>
  <dcterms:created xsi:type="dcterms:W3CDTF">2018-10-17T21:00:03Z</dcterms:created>
  <dcterms:modified xsi:type="dcterms:W3CDTF">2019-11-19T21:50:24Z</dcterms:modified>
</cp:coreProperties>
</file>